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555" yWindow="65521" windowWidth="9600" windowHeight="11640" tabRatio="676" activeTab="0"/>
  </bookViews>
  <sheets>
    <sheet name="単目量" sheetId="1" r:id="rId1"/>
    <sheet name="Two ranges WI" sheetId="2" state="hidden" r:id="rId2"/>
    <sheet name="Three ranges WI" sheetId="3" state="hidden" r:id="rId3"/>
    <sheet name="Two-interval WI" sheetId="4" state="hidden" r:id="rId4"/>
    <sheet name="Three-interval WI" sheetId="5" state="hidden" r:id="rId5"/>
    <sheet name="Tabelle1" sheetId="6" state="hidden" r:id="rId6"/>
  </sheets>
  <definedNames>
    <definedName name="_xlnm.Print_Area" localSheetId="2">'Three ranges WI'!$A$1:$I$84</definedName>
    <definedName name="_xlnm.Print_Area" localSheetId="4">'Three-interval WI'!$A$1:$I$84</definedName>
    <definedName name="_xlnm.Print_Area" localSheetId="1">'Two ranges WI'!$A$1:$I$84</definedName>
    <definedName name="_xlnm.Print_Area" localSheetId="3">'Two-interval WI'!$A$1:$I$84</definedName>
    <definedName name="_xlnm.Print_Area" localSheetId="0">'単目量'!$A$1:$T$44</definedName>
    <definedName name="Waagenart">'Tabelle1'!$A$10</definedName>
  </definedNames>
  <calcPr fullCalcOnLoad="1"/>
</workbook>
</file>

<file path=xl/sharedStrings.xml><?xml version="1.0" encoding="utf-8"?>
<sst xmlns="http://schemas.openxmlformats.org/spreadsheetml/2006/main" count="689" uniqueCount="253">
  <si>
    <t>-</t>
  </si>
  <si>
    <t>L</t>
  </si>
  <si>
    <t>m</t>
  </si>
  <si>
    <t>A</t>
  </si>
  <si>
    <t>C</t>
  </si>
  <si>
    <t>Y</t>
  </si>
  <si>
    <t>DR</t>
  </si>
  <si>
    <t>Z</t>
  </si>
  <si>
    <t>&amp;</t>
  </si>
  <si>
    <t>+</t>
  </si>
  <si>
    <t>(L/A)</t>
  </si>
  <si>
    <t>kg</t>
  </si>
  <si>
    <t>° C</t>
  </si>
  <si>
    <t>mV/V</t>
  </si>
  <si>
    <t>£</t>
  </si>
  <si>
    <t>³</t>
  </si>
  <si>
    <t>DL*R/N</t>
  </si>
  <si>
    <t>I. O. ?</t>
  </si>
  <si>
    <t>i = 1</t>
  </si>
  <si>
    <t>i = 2</t>
  </si>
  <si>
    <t>i = 3</t>
  </si>
  <si>
    <r>
      <t>(6b) Rückkehr des Vorlastsignals der WZ und kleinster Eichwert e</t>
    </r>
    <r>
      <rPr>
        <vertAlign val="subscript"/>
        <sz val="10"/>
        <rFont val="Arial"/>
        <family val="2"/>
      </rPr>
      <t>1</t>
    </r>
    <r>
      <rPr>
        <sz val="10"/>
        <rFont val="Arial"/>
        <family val="2"/>
      </rPr>
      <t xml:space="preserve"> einer Mehrteilungswaage</t>
    </r>
  </si>
  <si>
    <t xml:space="preserve"> Einbereichswaage</t>
  </si>
  <si>
    <r>
      <t>T</t>
    </r>
    <r>
      <rPr>
        <i/>
        <vertAlign val="subscript"/>
        <sz val="9"/>
        <rFont val="Arial"/>
        <family val="2"/>
      </rPr>
      <t>min</t>
    </r>
  </si>
  <si>
    <r>
      <t>T</t>
    </r>
    <r>
      <rPr>
        <i/>
        <vertAlign val="subscript"/>
        <sz val="9"/>
        <rFont val="Arial"/>
        <family val="2"/>
      </rPr>
      <t>max</t>
    </r>
  </si>
  <si>
    <r>
      <t>p</t>
    </r>
    <r>
      <rPr>
        <i/>
        <vertAlign val="subscript"/>
        <sz val="9"/>
        <rFont val="Arial"/>
        <family val="2"/>
      </rPr>
      <t>con</t>
    </r>
    <r>
      <rPr>
        <i/>
        <vertAlign val="superscript"/>
        <sz val="9"/>
        <rFont val="Arial"/>
        <family val="2"/>
      </rPr>
      <t>2</t>
    </r>
  </si>
  <si>
    <r>
      <t>p</t>
    </r>
    <r>
      <rPr>
        <i/>
        <vertAlign val="subscript"/>
        <sz val="9"/>
        <rFont val="Arial"/>
        <family val="2"/>
      </rPr>
      <t>ind</t>
    </r>
    <r>
      <rPr>
        <i/>
        <vertAlign val="superscript"/>
        <sz val="9"/>
        <rFont val="Arial"/>
        <family val="2"/>
      </rPr>
      <t>2</t>
    </r>
  </si>
  <si>
    <r>
      <t>p</t>
    </r>
    <r>
      <rPr>
        <i/>
        <vertAlign val="subscript"/>
        <sz val="9"/>
        <rFont val="Arial"/>
        <family val="2"/>
      </rPr>
      <t>LC</t>
    </r>
    <r>
      <rPr>
        <i/>
        <vertAlign val="superscript"/>
        <sz val="9"/>
        <rFont val="Arial"/>
        <family val="2"/>
      </rPr>
      <t>2</t>
    </r>
  </si>
  <si>
    <r>
      <t xml:space="preserve">£ </t>
    </r>
    <r>
      <rPr>
        <sz val="9"/>
        <rFont val="Arial"/>
        <family val="2"/>
      </rPr>
      <t>1</t>
    </r>
  </si>
  <si>
    <r>
      <t>n</t>
    </r>
    <r>
      <rPr>
        <i/>
        <vertAlign val="subscript"/>
        <sz val="9"/>
        <rFont val="Arial"/>
        <family val="2"/>
      </rPr>
      <t>ind</t>
    </r>
  </si>
  <si>
    <r>
      <t>n</t>
    </r>
    <r>
      <rPr>
        <i/>
        <vertAlign val="subscript"/>
        <sz val="9"/>
        <rFont val="Arial"/>
        <family val="2"/>
      </rPr>
      <t>(i)</t>
    </r>
    <r>
      <rPr>
        <i/>
        <sz val="9"/>
        <rFont val="Arial"/>
        <family val="2"/>
      </rPr>
      <t>=Max</t>
    </r>
    <r>
      <rPr>
        <i/>
        <vertAlign val="subscript"/>
        <sz val="9"/>
        <rFont val="Arial"/>
        <family val="2"/>
      </rPr>
      <t>(i)</t>
    </r>
    <r>
      <rPr>
        <i/>
        <sz val="9"/>
        <rFont val="Arial"/>
        <family val="2"/>
      </rPr>
      <t>/e</t>
    </r>
    <r>
      <rPr>
        <i/>
        <vertAlign val="subscript"/>
        <sz val="9"/>
        <rFont val="Arial"/>
        <family val="2"/>
      </rPr>
      <t>(i)</t>
    </r>
  </si>
  <si>
    <r>
      <t>E</t>
    </r>
    <r>
      <rPr>
        <i/>
        <vertAlign val="subscript"/>
        <sz val="9"/>
        <rFont val="Arial"/>
        <family val="2"/>
      </rPr>
      <t>max</t>
    </r>
  </si>
  <si>
    <r>
      <t>n</t>
    </r>
    <r>
      <rPr>
        <i/>
        <vertAlign val="subscript"/>
        <sz val="9"/>
        <rFont val="Arial"/>
        <family val="2"/>
      </rPr>
      <t>LC</t>
    </r>
  </si>
  <si>
    <r>
      <t>Max</t>
    </r>
    <r>
      <rPr>
        <i/>
        <vertAlign val="subscript"/>
        <sz val="9"/>
        <rFont val="Arial"/>
        <family val="2"/>
      </rPr>
      <t xml:space="preserve">r </t>
    </r>
    <r>
      <rPr>
        <i/>
        <sz val="9"/>
        <rFont val="Arial"/>
        <family val="2"/>
      </rPr>
      <t>/ e</t>
    </r>
    <r>
      <rPr>
        <i/>
        <vertAlign val="subscript"/>
        <sz val="9"/>
        <rFont val="Arial"/>
        <family val="2"/>
      </rPr>
      <t>1</t>
    </r>
  </si>
  <si>
    <r>
      <t>0,4*Max</t>
    </r>
    <r>
      <rPr>
        <i/>
        <vertAlign val="subscript"/>
        <sz val="9"/>
        <rFont val="Arial"/>
        <family val="2"/>
      </rPr>
      <t>r</t>
    </r>
    <r>
      <rPr>
        <i/>
        <sz val="9"/>
        <rFont val="Arial"/>
        <family val="2"/>
      </rPr>
      <t>/e</t>
    </r>
    <r>
      <rPr>
        <i/>
        <vertAlign val="subscript"/>
        <sz val="9"/>
        <rFont val="Arial"/>
        <family val="2"/>
      </rPr>
      <t>1</t>
    </r>
  </si>
  <si>
    <r>
      <t>E</t>
    </r>
    <r>
      <rPr>
        <i/>
        <vertAlign val="subscript"/>
        <sz val="9"/>
        <rFont val="Arial"/>
        <family val="2"/>
      </rPr>
      <t>min</t>
    </r>
  </si>
  <si>
    <r>
      <t>v</t>
    </r>
    <r>
      <rPr>
        <i/>
        <vertAlign val="subscript"/>
        <sz val="9"/>
        <rFont val="Arial"/>
        <family val="2"/>
      </rPr>
      <t>min</t>
    </r>
    <r>
      <rPr>
        <i/>
        <sz val="9"/>
        <rFont val="Arial"/>
        <family val="2"/>
      </rPr>
      <t>= E</t>
    </r>
    <r>
      <rPr>
        <i/>
        <vertAlign val="subscript"/>
        <sz val="9"/>
        <rFont val="Arial"/>
        <family val="2"/>
      </rPr>
      <t>max</t>
    </r>
    <r>
      <rPr>
        <i/>
        <sz val="9"/>
        <rFont val="Arial"/>
        <family val="2"/>
      </rPr>
      <t>/Y</t>
    </r>
  </si>
  <si>
    <r>
      <t>D</t>
    </r>
    <r>
      <rPr>
        <i/>
        <sz val="9"/>
        <rFont val="Arial"/>
        <family val="2"/>
      </rPr>
      <t>u</t>
    </r>
    <r>
      <rPr>
        <i/>
        <vertAlign val="subscript"/>
        <sz val="9"/>
        <rFont val="Arial"/>
        <family val="2"/>
      </rPr>
      <t>min</t>
    </r>
  </si>
  <si>
    <r>
      <t>R</t>
    </r>
    <r>
      <rPr>
        <i/>
        <vertAlign val="subscript"/>
        <sz val="9"/>
        <rFont val="Arial"/>
        <family val="2"/>
      </rPr>
      <t>Lmin</t>
    </r>
  </si>
  <si>
    <r>
      <t>R</t>
    </r>
    <r>
      <rPr>
        <i/>
        <vertAlign val="subscript"/>
        <sz val="9"/>
        <rFont val="Arial"/>
        <family val="2"/>
      </rPr>
      <t xml:space="preserve">LC </t>
    </r>
    <r>
      <rPr>
        <i/>
        <sz val="9"/>
        <rFont val="Arial"/>
        <family val="2"/>
      </rPr>
      <t>/ N</t>
    </r>
  </si>
  <si>
    <r>
      <t>R</t>
    </r>
    <r>
      <rPr>
        <i/>
        <vertAlign val="subscript"/>
        <sz val="9"/>
        <rFont val="Arial"/>
        <family val="2"/>
      </rPr>
      <t>Lmax</t>
    </r>
  </si>
  <si>
    <r>
      <t>n LC oder Z=E</t>
    </r>
    <r>
      <rPr>
        <i/>
        <vertAlign val="subscript"/>
        <sz val="9"/>
        <rFont val="Arial"/>
        <family val="2"/>
      </rPr>
      <t>max</t>
    </r>
    <r>
      <rPr>
        <i/>
        <sz val="9"/>
        <rFont val="Arial"/>
        <family val="2"/>
      </rPr>
      <t xml:space="preserve">/(2*DR) </t>
    </r>
  </si>
  <si>
    <r>
      <t>nLC oder Z=E</t>
    </r>
    <r>
      <rPr>
        <i/>
        <vertAlign val="subscript"/>
        <sz val="9"/>
        <rFont val="Arial"/>
        <family val="2"/>
      </rPr>
      <t>max</t>
    </r>
    <r>
      <rPr>
        <i/>
        <sz val="9"/>
        <rFont val="Arial"/>
        <family val="2"/>
      </rPr>
      <t xml:space="preserve">/(2*DR) </t>
    </r>
  </si>
  <si>
    <r>
      <t>(6b) Rückkehr des Vorlastsignals der WZ und kleinster Eichwert e</t>
    </r>
    <r>
      <rPr>
        <vertAlign val="subscript"/>
        <sz val="10"/>
        <rFont val="Arial"/>
        <family val="2"/>
      </rPr>
      <t>1</t>
    </r>
    <r>
      <rPr>
        <sz val="10"/>
        <rFont val="Arial"/>
        <family val="2"/>
      </rPr>
      <t xml:space="preserve"> einer Mehrbereichswaage</t>
    </r>
  </si>
  <si>
    <t>V</t>
  </si>
  <si>
    <t xml:space="preserve"> Mehrbereichswaage</t>
  </si>
  <si>
    <r>
      <t>(6c) Rückkehr des Vorlastsignals der WZ und kleinster Eichwert e</t>
    </r>
    <r>
      <rPr>
        <vertAlign val="subscript"/>
        <sz val="10"/>
        <rFont val="Arial"/>
        <family val="2"/>
      </rPr>
      <t>1</t>
    </r>
    <r>
      <rPr>
        <sz val="10"/>
        <rFont val="Arial"/>
        <family val="2"/>
      </rPr>
      <t xml:space="preserve"> einer Mehrbereichswaage</t>
    </r>
  </si>
  <si>
    <t>IZSR</t>
  </si>
  <si>
    <t>NUD</t>
  </si>
  <si>
    <r>
      <t>e</t>
    </r>
    <r>
      <rPr>
        <i/>
        <vertAlign val="subscript"/>
        <sz val="9"/>
        <rFont val="Arial"/>
        <family val="2"/>
      </rPr>
      <t>1</t>
    </r>
    <r>
      <rPr>
        <i/>
        <sz val="9"/>
        <rFont val="Arial"/>
        <family val="2"/>
      </rPr>
      <t>*R/</t>
    </r>
    <r>
      <rPr>
        <i/>
        <sz val="9"/>
        <rFont val="Symbol"/>
        <family val="1"/>
      </rPr>
      <t>Ö</t>
    </r>
    <r>
      <rPr>
        <i/>
        <sz val="9"/>
        <rFont val="Arial"/>
        <family val="2"/>
      </rPr>
      <t>N</t>
    </r>
  </si>
  <si>
    <t>Eichanweisung 9, Abschnitt 9.1</t>
  </si>
  <si>
    <r>
      <t>n</t>
    </r>
    <r>
      <rPr>
        <i/>
        <vertAlign val="subscript"/>
        <sz val="9"/>
        <rFont val="Arial"/>
        <family val="2"/>
      </rPr>
      <t>LC</t>
    </r>
    <r>
      <rPr>
        <i/>
        <sz val="9"/>
        <rFont val="Arial"/>
        <family val="2"/>
      </rPr>
      <t xml:space="preserve"> oder Z=E</t>
    </r>
    <r>
      <rPr>
        <i/>
        <vertAlign val="subscript"/>
        <sz val="9"/>
        <rFont val="Arial"/>
        <family val="2"/>
      </rPr>
      <t>max</t>
    </r>
    <r>
      <rPr>
        <i/>
        <sz val="9"/>
        <rFont val="Arial"/>
        <family val="2"/>
      </rPr>
      <t xml:space="preserve">/(2*DR) </t>
    </r>
  </si>
  <si>
    <r>
      <t>(L/A)</t>
    </r>
    <r>
      <rPr>
        <i/>
        <vertAlign val="subscript"/>
        <sz val="9"/>
        <rFont val="Arial"/>
        <family val="2"/>
      </rPr>
      <t>max</t>
    </r>
  </si>
  <si>
    <r>
      <t>0,4*Max</t>
    </r>
    <r>
      <rPr>
        <i/>
        <vertAlign val="subscript"/>
        <sz val="9"/>
        <rFont val="Arial"/>
        <family val="2"/>
      </rPr>
      <t>2</t>
    </r>
    <r>
      <rPr>
        <i/>
        <sz val="9"/>
        <rFont val="Arial"/>
        <family val="2"/>
      </rPr>
      <t>/e</t>
    </r>
    <r>
      <rPr>
        <i/>
        <vertAlign val="subscript"/>
        <sz val="9"/>
        <rFont val="Arial"/>
        <family val="2"/>
      </rPr>
      <t>1</t>
    </r>
  </si>
  <si>
    <r>
      <t>(Q*Max</t>
    </r>
    <r>
      <rPr>
        <i/>
        <vertAlign val="subscript"/>
        <sz val="9"/>
        <rFont val="Arial"/>
        <family val="2"/>
      </rPr>
      <t>2</t>
    </r>
    <r>
      <rPr>
        <i/>
        <sz val="9"/>
        <rFont val="Arial"/>
        <family val="2"/>
      </rPr>
      <t>*R)/N</t>
    </r>
  </si>
  <si>
    <r>
      <t>Max</t>
    </r>
    <r>
      <rPr>
        <i/>
        <vertAlign val="subscript"/>
        <sz val="9"/>
        <rFont val="Arial"/>
        <family val="2"/>
      </rPr>
      <t xml:space="preserve">2 </t>
    </r>
    <r>
      <rPr>
        <i/>
        <sz val="9"/>
        <rFont val="Arial"/>
        <family val="2"/>
      </rPr>
      <t>/ e</t>
    </r>
    <r>
      <rPr>
        <i/>
        <vertAlign val="subscript"/>
        <sz val="9"/>
        <rFont val="Arial"/>
        <family val="2"/>
      </rPr>
      <t>1</t>
    </r>
  </si>
  <si>
    <r>
      <t>(Q*Max</t>
    </r>
    <r>
      <rPr>
        <i/>
        <vertAlign val="subscript"/>
        <sz val="9"/>
        <rFont val="Arial"/>
        <family val="2"/>
      </rPr>
      <t>3</t>
    </r>
    <r>
      <rPr>
        <i/>
        <sz val="9"/>
        <rFont val="Arial"/>
        <family val="2"/>
      </rPr>
      <t>*R)/N</t>
    </r>
  </si>
  <si>
    <r>
      <t>Max</t>
    </r>
    <r>
      <rPr>
        <i/>
        <vertAlign val="subscript"/>
        <sz val="9"/>
        <rFont val="Arial"/>
        <family val="2"/>
      </rPr>
      <t xml:space="preserve">3 </t>
    </r>
    <r>
      <rPr>
        <i/>
        <sz val="9"/>
        <rFont val="Arial"/>
        <family val="2"/>
      </rPr>
      <t>/ e</t>
    </r>
    <r>
      <rPr>
        <i/>
        <vertAlign val="subscript"/>
        <sz val="9"/>
        <rFont val="Arial"/>
        <family val="2"/>
      </rPr>
      <t>1</t>
    </r>
  </si>
  <si>
    <r>
      <t>D</t>
    </r>
    <r>
      <rPr>
        <i/>
        <sz val="9"/>
        <rFont val="Arial"/>
        <family val="2"/>
      </rPr>
      <t>u = C*U</t>
    </r>
    <r>
      <rPr>
        <i/>
        <vertAlign val="subscript"/>
        <sz val="9"/>
        <rFont val="Arial"/>
        <family val="2"/>
      </rPr>
      <t>exc</t>
    </r>
    <r>
      <rPr>
        <i/>
        <sz val="9"/>
        <rFont val="Arial"/>
        <family val="2"/>
      </rPr>
      <t>*R*e/(E</t>
    </r>
    <r>
      <rPr>
        <i/>
        <vertAlign val="subscript"/>
        <sz val="9"/>
        <rFont val="Arial"/>
        <family val="2"/>
      </rPr>
      <t>max *</t>
    </r>
    <r>
      <rPr>
        <i/>
        <sz val="9"/>
        <rFont val="Arial"/>
        <family val="2"/>
      </rPr>
      <t>N)</t>
    </r>
  </si>
  <si>
    <t>Hilfsfeld</t>
  </si>
  <si>
    <r>
      <t xml:space="preserve">Last-Korrekturfaktor: </t>
    </r>
    <r>
      <rPr>
        <i/>
        <sz val="9"/>
        <rFont val="Arial"/>
        <family val="2"/>
      </rPr>
      <t>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sz val="9"/>
        <rFont val="Arial"/>
        <family val="2"/>
      </rPr>
      <t>)/</t>
    </r>
    <r>
      <rPr>
        <i/>
        <sz val="9"/>
        <rFont val="Arial"/>
        <family val="2"/>
      </rPr>
      <t>Max</t>
    </r>
    <r>
      <rPr>
        <i/>
        <vertAlign val="subscript"/>
        <sz val="9"/>
        <rFont val="Arial"/>
        <family val="2"/>
      </rPr>
      <t>3</t>
    </r>
    <r>
      <rPr>
        <sz val="9"/>
        <rFont val="Arial"/>
        <family val="2"/>
      </rPr>
      <t xml:space="preserve"> =</t>
    </r>
  </si>
  <si>
    <t>Seite 3 von 6</t>
  </si>
  <si>
    <r>
      <t>0,4*Max</t>
    </r>
    <r>
      <rPr>
        <i/>
        <vertAlign val="subscript"/>
        <sz val="9"/>
        <rFont val="Arial"/>
        <family val="2"/>
      </rPr>
      <t>3</t>
    </r>
    <r>
      <rPr>
        <i/>
        <sz val="9"/>
        <rFont val="Arial"/>
        <family val="2"/>
      </rPr>
      <t>/e</t>
    </r>
    <r>
      <rPr>
        <i/>
        <vertAlign val="subscript"/>
        <sz val="9"/>
        <rFont val="Arial"/>
        <family val="2"/>
      </rPr>
      <t>1</t>
    </r>
  </si>
  <si>
    <t>Seite 4 von 6</t>
  </si>
  <si>
    <t>Seite 6 von 6</t>
  </si>
  <si>
    <t>Seite 5 von 6</t>
  </si>
  <si>
    <t>mV</t>
  </si>
  <si>
    <r>
      <t>U</t>
    </r>
    <r>
      <rPr>
        <i/>
        <vertAlign val="subscript"/>
        <sz val="9"/>
        <rFont val="Arial"/>
        <family val="2"/>
      </rPr>
      <t>min</t>
    </r>
  </si>
  <si>
    <r>
      <t xml:space="preserve">Eichbehörden der Länder, </t>
    </r>
    <r>
      <rPr>
        <sz val="8"/>
        <rFont val="Arial"/>
        <family val="2"/>
      </rPr>
      <t>englischsprachige Fassung</t>
    </r>
  </si>
  <si>
    <t>class</t>
  </si>
  <si>
    <t>(5) Maximum capacity of load cells must be compatible to Max of the weighing instrument</t>
  </si>
  <si>
    <t>equal or better</t>
  </si>
  <si>
    <t>LC</t>
  </si>
  <si>
    <t>IND</t>
  </si>
  <si>
    <t>WI</t>
  </si>
  <si>
    <t xml:space="preserve">(6a) Maximum number of verification scale intervals of load cell and number of  scale intervals of the weighing instrument </t>
  </si>
  <si>
    <t>(6d) Minimum dead load of the load cells to the actual dead load of the load receptor</t>
  </si>
  <si>
    <t>(7) Verification scale interval of the weighing instrument and minimum load cell scale interval  must be compatible</t>
  </si>
  <si>
    <t>(9) Allowed impedance range for the electronic indicator and actual load cell impedance</t>
  </si>
  <si>
    <t xml:space="preserve">(10) Cable length per wire cross section of the connection cable between the load cell(s)  and indicator  </t>
  </si>
  <si>
    <t>minimum input voltage</t>
  </si>
  <si>
    <t>(unloaded WI)</t>
  </si>
  <si>
    <r>
      <t>U</t>
    </r>
    <r>
      <rPr>
        <i/>
        <sz val="9"/>
        <rFont val="Arial"/>
        <family val="2"/>
      </rPr>
      <t>= C*U</t>
    </r>
    <r>
      <rPr>
        <i/>
        <vertAlign val="subscript"/>
        <sz val="9"/>
        <rFont val="Arial"/>
        <family val="2"/>
      </rPr>
      <t>exc</t>
    </r>
    <r>
      <rPr>
        <i/>
        <sz val="9"/>
        <rFont val="Arial"/>
        <family val="2"/>
      </rPr>
      <t>*R*DL/(E</t>
    </r>
    <r>
      <rPr>
        <i/>
        <vertAlign val="subscript"/>
        <sz val="9"/>
        <rFont val="Arial"/>
        <family val="2"/>
      </rPr>
      <t>max *</t>
    </r>
    <r>
      <rPr>
        <i/>
        <sz val="9"/>
        <rFont val="Arial"/>
        <family val="2"/>
      </rPr>
      <t>N)</t>
    </r>
  </si>
  <si>
    <r>
      <t>(3)Sum of the squares of the fractions p</t>
    </r>
    <r>
      <rPr>
        <vertAlign val="subscript"/>
        <sz val="10"/>
        <rFont val="Arial Narrow"/>
        <family val="2"/>
      </rPr>
      <t>i</t>
    </r>
    <r>
      <rPr>
        <sz val="10"/>
        <rFont val="Arial Narrow"/>
        <family val="2"/>
      </rPr>
      <t xml:space="preserve"> of the max. permissible errors of connecting elements, indicator and load cells</t>
    </r>
  </si>
  <si>
    <t>(4)Number of verification scale intervals of the weighing instrument and  the indicator</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</si>
  <si>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2</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2</t>
    </r>
    <r>
      <rPr>
        <sz val="9"/>
        <rFont val="Arial"/>
        <family val="2"/>
      </rPr>
      <t xml:space="preserve"> =</t>
    </r>
  </si>
  <si>
    <t>(1) Accuracy class of weighing instrument (WI) compatible to class of indicator (IND) and load cell (LC)</t>
  </si>
  <si>
    <t>(6c) Minimum dead load output return of the load cell and smallest verification scale interval e1 of a multiple range weighing instrument</t>
  </si>
  <si>
    <t>input voltage per verification interval</t>
  </si>
  <si>
    <t>(8) Minimum input voltage for the indicator, minimum input voltage per verification scale interval and actual output of the LCs</t>
  </si>
  <si>
    <t>b) Verification of Compatibility -  Two-interval weighing instrument (WI)</t>
  </si>
  <si>
    <t>two-interval weighing instrument</t>
  </si>
  <si>
    <r>
      <t>(6b) Minimum dead load output return of the load cell and smallest verification scale interval e</t>
    </r>
    <r>
      <rPr>
        <vertAlign val="subscript"/>
        <sz val="10"/>
        <rFont val="Arial Narrow"/>
        <family val="2"/>
      </rPr>
      <t>1</t>
    </r>
    <r>
      <rPr>
        <sz val="10"/>
        <rFont val="Arial Narrow"/>
        <family val="2"/>
      </rPr>
      <t xml:space="preserve"> of a multi-interval weighing instrument </t>
    </r>
  </si>
  <si>
    <t>three-interval weighing instrument</t>
  </si>
  <si>
    <r>
      <t>Faktor Q (EN 45 501 No 4.12.1) :</t>
    </r>
    <r>
      <rPr>
        <i/>
        <sz val="9"/>
        <rFont val="Arial"/>
        <family val="2"/>
      </rPr>
      <t xml:space="preserve">   Q</t>
    </r>
    <r>
      <rPr>
        <sz val="9"/>
        <rFont val="Arial"/>
        <family val="2"/>
      </rPr>
      <t xml:space="preserve"> = (</t>
    </r>
    <r>
      <rPr>
        <i/>
        <sz val="9"/>
        <rFont val="Arial"/>
        <family val="2"/>
      </rPr>
      <t>Max</t>
    </r>
    <r>
      <rPr>
        <i/>
        <vertAlign val="subscript"/>
        <sz val="9"/>
        <rFont val="Arial"/>
        <family val="2"/>
      </rPr>
      <t>3</t>
    </r>
    <r>
      <rPr>
        <sz val="9"/>
        <rFont val="Arial"/>
        <family val="2"/>
      </rPr>
      <t>+</t>
    </r>
    <r>
      <rPr>
        <i/>
        <sz val="9"/>
        <rFont val="Arial"/>
        <family val="2"/>
      </rPr>
      <t>DL</t>
    </r>
    <r>
      <rPr>
        <sz val="9"/>
        <rFont val="Arial"/>
        <family val="2"/>
      </rPr>
      <t>+</t>
    </r>
    <r>
      <rPr>
        <i/>
        <sz val="9"/>
        <rFont val="Arial"/>
        <family val="2"/>
      </rPr>
      <t>IZSR</t>
    </r>
    <r>
      <rPr>
        <sz val="9"/>
        <rFont val="Arial"/>
        <family val="2"/>
      </rPr>
      <t>+</t>
    </r>
    <r>
      <rPr>
        <i/>
        <sz val="9"/>
        <rFont val="Arial"/>
        <family val="2"/>
      </rPr>
      <t>NUD+T</t>
    </r>
    <r>
      <rPr>
        <i/>
        <sz val="11"/>
        <rFont val="Arial"/>
        <family val="2"/>
      </rPr>
      <t>+</t>
    </r>
    <r>
      <rPr>
        <sz val="9"/>
        <rFont val="Arial"/>
        <family val="2"/>
      </rPr>
      <t>)/</t>
    </r>
    <r>
      <rPr>
        <i/>
        <sz val="9"/>
        <rFont val="Arial"/>
        <family val="2"/>
      </rPr>
      <t>Max</t>
    </r>
    <r>
      <rPr>
        <i/>
        <vertAlign val="subscript"/>
        <sz val="9"/>
        <rFont val="Arial"/>
        <family val="2"/>
      </rPr>
      <t>3</t>
    </r>
    <r>
      <rPr>
        <sz val="9"/>
        <rFont val="Arial"/>
        <family val="2"/>
      </rPr>
      <t xml:space="preserve"> =</t>
    </r>
  </si>
  <si>
    <t>b) Verification of Compatibility -  Three-interval weighing instrument (WI)</t>
  </si>
  <si>
    <t>One range WI</t>
  </si>
  <si>
    <t>Two ranges WI</t>
  </si>
  <si>
    <t>Three ranges WI</t>
  </si>
  <si>
    <t>Two-interval WI</t>
  </si>
  <si>
    <t>Three -interval WI</t>
  </si>
  <si>
    <t>b) Verification of Compatibility  -  Three ranges weighing instrument (WI)</t>
  </si>
  <si>
    <t>b) Verification of Compatibility  -  Two ranges weighing instrument (WI)</t>
  </si>
  <si>
    <t xml:space="preserve">Evaluation Three ranges weighing instrument </t>
  </si>
  <si>
    <t xml:space="preserve">Evaluation Two ranges weighing instrument </t>
  </si>
  <si>
    <t>Evaluation Two-interval weighing instrument</t>
  </si>
  <si>
    <t>Evaluation  Three-interval weighing instrument</t>
  </si>
  <si>
    <t>two ranges weighing instrument</t>
  </si>
  <si>
    <t>three ranges weighing instrument</t>
  </si>
  <si>
    <t>(2) Temp.limits of the weighing instr.(WI) compared with the temp.limits of the load cell (LC) and the indicator (IND)</t>
  </si>
  <si>
    <t>製造事業者名：</t>
  </si>
  <si>
    <t>接続素子、その他</t>
  </si>
  <si>
    <t>単目量はかり</t>
  </si>
  <si>
    <t>Class</t>
  </si>
  <si>
    <t>３級</t>
  </si>
  <si>
    <t>≧</t>
  </si>
  <si>
    <t>≦</t>
  </si>
  <si>
    <t>不適合</t>
  </si>
  <si>
    <t>class</t>
  </si>
  <si>
    <t>Ω</t>
  </si>
  <si>
    <t>線式</t>
  </si>
  <si>
    <t>以上</t>
  </si>
  <si>
    <t>WI</t>
  </si>
  <si>
    <t>適合</t>
  </si>
  <si>
    <t>適合</t>
  </si>
  <si>
    <t>適合</t>
  </si>
  <si>
    <t>N</t>
  </si>
  <si>
    <t>R</t>
  </si>
  <si>
    <t>適合</t>
  </si>
  <si>
    <t>μV</t>
  </si>
  <si>
    <t>≦</t>
  </si>
  <si>
    <t>Max</t>
  </si>
  <si>
    <t>e</t>
  </si>
  <si>
    <t>LC</t>
  </si>
  <si>
    <t>IND</t>
  </si>
  <si>
    <t>WI</t>
  </si>
  <si>
    <t>≧</t>
  </si>
  <si>
    <t>℃</t>
  </si>
  <si>
    <t>適合</t>
  </si>
  <si>
    <t>適合</t>
  </si>
  <si>
    <t>kg</t>
  </si>
  <si>
    <t>≦</t>
  </si>
  <si>
    <t>kg</t>
  </si>
  <si>
    <t>kg</t>
  </si>
  <si>
    <t>適合</t>
  </si>
  <si>
    <t>適合</t>
  </si>
  <si>
    <t>≦</t>
  </si>
  <si>
    <r>
      <t>Type</t>
    </r>
    <r>
      <rPr>
        <b/>
        <sz val="14"/>
        <rFont val="ＭＳ Ｐ明朝"/>
        <family val="1"/>
      </rPr>
      <t>：</t>
    </r>
  </si>
  <si>
    <r>
      <t>（</t>
    </r>
    <r>
      <rPr>
        <sz val="14"/>
        <rFont val="Times New Roman"/>
        <family val="1"/>
      </rPr>
      <t>1</t>
    </r>
    <r>
      <rPr>
        <sz val="14"/>
        <rFont val="ＭＳ Ｐ明朝"/>
        <family val="1"/>
      </rPr>
      <t>）ロードセル（</t>
    </r>
    <r>
      <rPr>
        <sz val="14"/>
        <rFont val="Times New Roman"/>
        <family val="1"/>
      </rPr>
      <t>LC</t>
    </r>
    <r>
      <rPr>
        <sz val="14"/>
        <rFont val="ＭＳ Ｐ明朝"/>
        <family val="1"/>
      </rPr>
      <t>），指示計（</t>
    </r>
    <r>
      <rPr>
        <sz val="14"/>
        <rFont val="Times New Roman"/>
        <family val="1"/>
      </rPr>
      <t>IND</t>
    </r>
    <r>
      <rPr>
        <sz val="14"/>
        <rFont val="ＭＳ Ｐ明朝"/>
        <family val="1"/>
      </rPr>
      <t>）及びはかり（</t>
    </r>
    <r>
      <rPr>
        <sz val="14"/>
        <rFont val="Times New Roman"/>
        <family val="1"/>
      </rPr>
      <t>WI</t>
    </r>
    <r>
      <rPr>
        <sz val="14"/>
        <rFont val="ＭＳ Ｐ明朝"/>
        <family val="1"/>
      </rPr>
      <t>）の精度等級</t>
    </r>
  </si>
  <si>
    <t>LC</t>
  </si>
  <si>
    <t>IND</t>
  </si>
  <si>
    <r>
      <t xml:space="preserve">非自動はかり
</t>
    </r>
    <r>
      <rPr>
        <b/>
        <sz val="14"/>
        <rFont val="Times New Roman"/>
        <family val="1"/>
      </rPr>
      <t>(Weighing instrument)</t>
    </r>
  </si>
  <si>
    <r>
      <t>精度等級</t>
    </r>
    <r>
      <rPr>
        <sz val="14"/>
        <rFont val="Times New Roman"/>
        <family val="1"/>
      </rPr>
      <t xml:space="preserve"> 
</t>
    </r>
    <r>
      <rPr>
        <sz val="14"/>
        <rFont val="ＭＳ Ｐ明朝"/>
        <family val="1"/>
      </rPr>
      <t>（</t>
    </r>
    <r>
      <rPr>
        <sz val="14"/>
        <rFont val="Times New Roman"/>
        <family val="1"/>
      </rPr>
      <t>accuracy class)</t>
    </r>
  </si>
  <si>
    <r>
      <t>ひょう量</t>
    </r>
    <r>
      <rPr>
        <sz val="14"/>
        <rFont val="Times New Roman"/>
        <family val="1"/>
      </rPr>
      <t xml:space="preserve"> 
(maximum capacity)</t>
    </r>
  </si>
  <si>
    <r>
      <t>（</t>
    </r>
    <r>
      <rPr>
        <sz val="14"/>
        <rFont val="Times New Roman"/>
        <family val="1"/>
      </rPr>
      <t>2</t>
    </r>
    <r>
      <rPr>
        <sz val="14"/>
        <rFont val="ＭＳ Ｐ明朝"/>
        <family val="1"/>
      </rPr>
      <t>）ロードセル（</t>
    </r>
    <r>
      <rPr>
        <sz val="14"/>
        <rFont val="Times New Roman"/>
        <family val="1"/>
      </rPr>
      <t>LC</t>
    </r>
    <r>
      <rPr>
        <sz val="14"/>
        <rFont val="ＭＳ Ｐ明朝"/>
        <family val="1"/>
      </rPr>
      <t>）及び指示計（</t>
    </r>
    <r>
      <rPr>
        <sz val="14"/>
        <rFont val="Times New Roman"/>
        <family val="1"/>
      </rPr>
      <t>IND</t>
    </r>
    <r>
      <rPr>
        <sz val="14"/>
        <rFont val="ＭＳ Ｐ明朝"/>
        <family val="1"/>
      </rPr>
      <t>）の使用温度範囲並びに比較したはかり（</t>
    </r>
    <r>
      <rPr>
        <sz val="14"/>
        <rFont val="Times New Roman"/>
        <family val="1"/>
      </rPr>
      <t>WI</t>
    </r>
    <r>
      <rPr>
        <sz val="14"/>
        <rFont val="ＭＳ Ｐ明朝"/>
        <family val="1"/>
      </rPr>
      <t>）の使用温度範囲</t>
    </r>
  </si>
  <si>
    <r>
      <t>目量</t>
    </r>
    <r>
      <rPr>
        <sz val="14"/>
        <rFont val="Times New Roman"/>
        <family val="1"/>
      </rPr>
      <t xml:space="preserve"> 
(verification scale interval)</t>
    </r>
  </si>
  <si>
    <r>
      <t>ロードセルの数</t>
    </r>
    <r>
      <rPr>
        <sz val="14"/>
        <rFont val="Times New Roman"/>
        <family val="1"/>
      </rPr>
      <t xml:space="preserve"> 
(number of load cells)</t>
    </r>
  </si>
  <si>
    <t>≦</t>
  </si>
  <si>
    <t>℃</t>
  </si>
  <si>
    <r>
      <t>減少率</t>
    </r>
    <r>
      <rPr>
        <sz val="14"/>
        <rFont val="Times New Roman"/>
        <family val="1"/>
      </rPr>
      <t xml:space="preserve"> 
(reduction ratio)</t>
    </r>
  </si>
  <si>
    <r>
      <t>（</t>
    </r>
    <r>
      <rPr>
        <sz val="14"/>
        <rFont val="Times New Roman"/>
        <family val="1"/>
      </rPr>
      <t>3</t>
    </r>
    <r>
      <rPr>
        <sz val="14"/>
        <rFont val="ＭＳ Ｐ明朝"/>
        <family val="1"/>
      </rPr>
      <t>）接続要素，指示計及びロードセルの最大許容誤差の誤差配分</t>
    </r>
    <r>
      <rPr>
        <sz val="14"/>
        <rFont val="Times New Roman"/>
        <family val="1"/>
      </rPr>
      <t>p</t>
    </r>
    <r>
      <rPr>
        <vertAlign val="subscript"/>
        <sz val="14"/>
        <rFont val="Times New Roman"/>
        <family val="1"/>
      </rPr>
      <t>i</t>
    </r>
    <r>
      <rPr>
        <sz val="14"/>
        <rFont val="ＭＳ Ｐ明朝"/>
        <family val="1"/>
      </rPr>
      <t>の平方根の和</t>
    </r>
  </si>
  <si>
    <r>
      <t>初期零点設定範囲</t>
    </r>
    <r>
      <rPr>
        <sz val="14"/>
        <rFont val="Times New Roman"/>
        <family val="1"/>
      </rPr>
      <t xml:space="preserve">  
(initial zero setting range)</t>
    </r>
  </si>
  <si>
    <r>
      <t>≦</t>
    </r>
    <r>
      <rPr>
        <sz val="14"/>
        <rFont val="Times New Roman"/>
        <family val="1"/>
      </rPr>
      <t xml:space="preserve"> 1</t>
    </r>
  </si>
  <si>
    <r>
      <t>不均一分布荷重補正</t>
    </r>
    <r>
      <rPr>
        <sz val="14"/>
        <rFont val="Times New Roman"/>
        <family val="1"/>
      </rPr>
      <t xml:space="preserve"> 
(correction for non uniform distributed load)</t>
    </r>
  </si>
  <si>
    <r>
      <t>≦</t>
    </r>
    <r>
      <rPr>
        <sz val="14"/>
        <rFont val="Times New Roman"/>
        <family val="1"/>
      </rPr>
      <t xml:space="preserve"> 1</t>
    </r>
  </si>
  <si>
    <r>
      <t>加算式風袋量</t>
    </r>
    <r>
      <rPr>
        <sz val="14"/>
        <color indexed="8"/>
        <rFont val="Times New Roman"/>
        <family val="1"/>
      </rPr>
      <t xml:space="preserve"> 
(additive tare)</t>
    </r>
  </si>
  <si>
    <r>
      <t>T</t>
    </r>
    <r>
      <rPr>
        <vertAlign val="superscript"/>
        <sz val="14"/>
        <rFont val="Times New Roman"/>
        <family val="1"/>
      </rPr>
      <t>+</t>
    </r>
  </si>
  <si>
    <r>
      <t>（</t>
    </r>
    <r>
      <rPr>
        <sz val="14"/>
        <rFont val="Times New Roman"/>
        <family val="1"/>
      </rPr>
      <t>4</t>
    </r>
    <r>
      <rPr>
        <sz val="14"/>
        <rFont val="ＭＳ Ｐ明朝"/>
        <family val="1"/>
      </rPr>
      <t>）指示計の目量の数の最大数及びはかりの目量の数</t>
    </r>
  </si>
  <si>
    <r>
      <t>使用温度範囲</t>
    </r>
    <r>
      <rPr>
        <sz val="14"/>
        <rFont val="Times New Roman"/>
        <family val="1"/>
      </rPr>
      <t xml:space="preserve"> 
(temperature range)</t>
    </r>
  </si>
  <si>
    <r>
      <t xml:space="preserve">下限
</t>
    </r>
    <r>
      <rPr>
        <sz val="14"/>
        <rFont val="Times New Roman"/>
        <family val="1"/>
      </rPr>
      <t>(T</t>
    </r>
    <r>
      <rPr>
        <vertAlign val="subscript"/>
        <sz val="14"/>
        <rFont val="Times New Roman"/>
        <family val="1"/>
      </rPr>
      <t>min</t>
    </r>
    <r>
      <rPr>
        <sz val="14"/>
        <rFont val="Times New Roman"/>
        <family val="1"/>
      </rPr>
      <t>)</t>
    </r>
  </si>
  <si>
    <r>
      <t xml:space="preserve">上限
</t>
    </r>
    <r>
      <rPr>
        <sz val="14"/>
        <rFont val="Times New Roman"/>
        <family val="1"/>
      </rPr>
      <t>(T</t>
    </r>
    <r>
      <rPr>
        <vertAlign val="subscript"/>
        <sz val="14"/>
        <rFont val="Times New Roman"/>
        <family val="1"/>
      </rPr>
      <t>max</t>
    </r>
    <r>
      <rPr>
        <sz val="14"/>
        <rFont val="Times New Roman"/>
        <family val="1"/>
      </rPr>
      <t>)</t>
    </r>
  </si>
  <si>
    <r>
      <t>ケーブルの長さ</t>
    </r>
    <r>
      <rPr>
        <sz val="14"/>
        <rFont val="Times New Roman"/>
        <family val="1"/>
      </rPr>
      <t xml:space="preserve"> 
(length of connecting cable)</t>
    </r>
  </si>
  <si>
    <r>
      <t>ケーブルの心線の断面積</t>
    </r>
    <r>
      <rPr>
        <sz val="14"/>
        <rFont val="Times New Roman"/>
        <family val="1"/>
      </rPr>
      <t xml:space="preserve"> 
(cross section of wire)</t>
    </r>
  </si>
  <si>
    <r>
      <t>mm</t>
    </r>
    <r>
      <rPr>
        <vertAlign val="superscript"/>
        <sz val="14"/>
        <rFont val="Times New Roman"/>
        <family val="1"/>
      </rPr>
      <t>2</t>
    </r>
  </si>
  <si>
    <r>
      <t>（</t>
    </r>
    <r>
      <rPr>
        <sz val="14"/>
        <rFont val="Times New Roman"/>
        <family val="1"/>
      </rPr>
      <t>5</t>
    </r>
    <r>
      <rPr>
        <sz val="14"/>
        <rFont val="ＭＳ Ｐ明朝"/>
        <family val="1"/>
      </rPr>
      <t>）ロードセルの最大定格荷重とはかりのひょう量との関係</t>
    </r>
  </si>
  <si>
    <r>
      <t>精度等級</t>
    </r>
    <r>
      <rPr>
        <sz val="14"/>
        <rFont val="Times New Roman"/>
        <family val="1"/>
      </rPr>
      <t xml:space="preserve"> 
(suitable for accuracy class of the weighing instrument)</t>
    </r>
  </si>
  <si>
    <r>
      <t>目量数の最大数</t>
    </r>
    <r>
      <rPr>
        <sz val="14"/>
        <rFont val="Times New Roman"/>
        <family val="1"/>
      </rPr>
      <t xml:space="preserve"> 
(maximum number of verification scale interval)</t>
    </r>
  </si>
  <si>
    <r>
      <t>n</t>
    </r>
    <r>
      <rPr>
        <vertAlign val="subscript"/>
        <sz val="14"/>
        <rFont val="Times New Roman"/>
        <family val="1"/>
      </rPr>
      <t>ind</t>
    </r>
  </si>
  <si>
    <r>
      <t>ロードセルの印加電圧</t>
    </r>
    <r>
      <rPr>
        <sz val="14"/>
        <rFont val="Times New Roman"/>
        <family val="1"/>
      </rPr>
      <t xml:space="preserve"> 
(load cell excitation voltage)</t>
    </r>
  </si>
  <si>
    <r>
      <t>U</t>
    </r>
    <r>
      <rPr>
        <vertAlign val="subscript"/>
        <sz val="14"/>
        <rFont val="Times New Roman"/>
        <family val="1"/>
      </rPr>
      <t>exc</t>
    </r>
  </si>
  <si>
    <r>
      <t>（</t>
    </r>
    <r>
      <rPr>
        <sz val="14"/>
        <rFont val="Times New Roman"/>
        <family val="1"/>
      </rPr>
      <t>6a</t>
    </r>
    <r>
      <rPr>
        <sz val="14"/>
        <rFont val="ＭＳ Ｐ明朝"/>
        <family val="1"/>
      </rPr>
      <t>）ロードセルの目量の数の最大数及びはかりの目量の数</t>
    </r>
  </si>
  <si>
    <r>
      <t>最小入力電圧</t>
    </r>
    <r>
      <rPr>
        <sz val="14"/>
        <rFont val="Times New Roman"/>
        <family val="1"/>
      </rPr>
      <t xml:space="preserve"> 
(minumum input voltage)</t>
    </r>
  </si>
  <si>
    <r>
      <t>U</t>
    </r>
    <r>
      <rPr>
        <vertAlign val="subscript"/>
        <sz val="14"/>
        <rFont val="Times New Roman"/>
        <family val="1"/>
      </rPr>
      <t>min</t>
    </r>
  </si>
  <si>
    <r>
      <t>目量当たりの最小入力電圧</t>
    </r>
    <r>
      <rPr>
        <sz val="14"/>
        <rFont val="Times New Roman"/>
        <family val="1"/>
      </rPr>
      <t xml:space="preserve"> 
(minimum input voltage per verification scale interval)</t>
    </r>
  </si>
  <si>
    <r>
      <t>Δu</t>
    </r>
    <r>
      <rPr>
        <vertAlign val="subscript"/>
        <sz val="14"/>
        <rFont val="Times New Roman"/>
        <family val="1"/>
      </rPr>
      <t>min</t>
    </r>
  </si>
  <si>
    <r>
      <t>最小・最大ロードセルインピーダンス</t>
    </r>
    <r>
      <rPr>
        <sz val="14"/>
        <rFont val="Times New Roman"/>
        <family val="1"/>
      </rPr>
      <t xml:space="preserve"> 
(load cell resistance)</t>
    </r>
  </si>
  <si>
    <r>
      <t xml:space="preserve">最小
</t>
    </r>
    <r>
      <rPr>
        <sz val="14"/>
        <rFont val="Times New Roman"/>
        <family val="1"/>
      </rPr>
      <t>(R</t>
    </r>
    <r>
      <rPr>
        <vertAlign val="subscript"/>
        <sz val="14"/>
        <rFont val="Times New Roman"/>
        <family val="1"/>
      </rPr>
      <t>Lmin</t>
    </r>
    <r>
      <rPr>
        <sz val="14"/>
        <rFont val="Times New Roman"/>
        <family val="1"/>
      </rPr>
      <t>)</t>
    </r>
  </si>
  <si>
    <r>
      <t xml:space="preserve">最大
</t>
    </r>
    <r>
      <rPr>
        <sz val="14"/>
        <rFont val="Times New Roman"/>
        <family val="1"/>
      </rPr>
      <t>(R</t>
    </r>
    <r>
      <rPr>
        <vertAlign val="subscript"/>
        <sz val="14"/>
        <rFont val="Times New Roman"/>
        <family val="1"/>
      </rPr>
      <t>Lmax</t>
    </r>
    <r>
      <rPr>
        <sz val="14"/>
        <rFont val="Times New Roman"/>
        <family val="1"/>
      </rPr>
      <t>)</t>
    </r>
  </si>
  <si>
    <r>
      <t>（</t>
    </r>
    <r>
      <rPr>
        <sz val="14"/>
        <rFont val="Times New Roman"/>
        <family val="1"/>
      </rPr>
      <t>6d</t>
    </r>
    <r>
      <rPr>
        <sz val="14"/>
        <rFont val="ＭＳ Ｐ明朝"/>
        <family val="1"/>
      </rPr>
      <t>）ロードセルの最小荷重及び荷重受け部（</t>
    </r>
    <r>
      <rPr>
        <sz val="14"/>
        <rFont val="Times New Roman"/>
        <family val="1"/>
      </rPr>
      <t>kg</t>
    </r>
    <r>
      <rPr>
        <sz val="14"/>
        <rFont val="ＭＳ Ｐ明朝"/>
        <family val="1"/>
      </rPr>
      <t>）</t>
    </r>
  </si>
  <si>
    <r>
      <t xml:space="preserve">使用温度範囲
</t>
    </r>
    <r>
      <rPr>
        <sz val="14"/>
        <rFont val="Times New Roman"/>
        <family val="1"/>
      </rPr>
      <t>(temperature range)</t>
    </r>
  </si>
  <si>
    <r>
      <t xml:space="preserve">誤差配分
</t>
    </r>
    <r>
      <rPr>
        <sz val="14"/>
        <rFont val="Times New Roman"/>
        <family val="1"/>
      </rPr>
      <t>(fraction of the maximum permissible error)</t>
    </r>
  </si>
  <si>
    <r>
      <t>p</t>
    </r>
    <r>
      <rPr>
        <vertAlign val="subscript"/>
        <sz val="14"/>
        <rFont val="Times New Roman"/>
        <family val="1"/>
      </rPr>
      <t>ind</t>
    </r>
  </si>
  <si>
    <r>
      <t xml:space="preserve">ケーブル接続
</t>
    </r>
    <r>
      <rPr>
        <sz val="14"/>
        <rFont val="Times New Roman"/>
        <family val="1"/>
      </rPr>
      <t>(cable connection)</t>
    </r>
  </si>
  <si>
    <r>
      <t>（</t>
    </r>
    <r>
      <rPr>
        <sz val="14"/>
        <rFont val="Times New Roman"/>
        <family val="1"/>
      </rPr>
      <t>7</t>
    </r>
    <r>
      <rPr>
        <sz val="14"/>
        <rFont val="ＭＳ Ｐ明朝"/>
        <family val="1"/>
      </rPr>
      <t>）はかりの目量とロードセルの目量との関係</t>
    </r>
  </si>
  <si>
    <r>
      <t>ケーブルの心線の断面積当たりの長さ　</t>
    </r>
    <r>
      <rPr>
        <sz val="14"/>
        <rFont val="Times New Roman"/>
        <family val="1"/>
      </rPr>
      <t>(maximum value of cable length per wire cross section)</t>
    </r>
  </si>
  <si>
    <r>
      <t>(L/A)</t>
    </r>
    <r>
      <rPr>
        <vertAlign val="subscript"/>
        <sz val="14"/>
        <rFont val="Times New Roman"/>
        <family val="1"/>
      </rPr>
      <t>max</t>
    </r>
  </si>
  <si>
    <r>
      <t>m/mm</t>
    </r>
    <r>
      <rPr>
        <vertAlign val="superscript"/>
        <sz val="14"/>
        <rFont val="Times New Roman"/>
        <family val="1"/>
      </rPr>
      <t>2</t>
    </r>
  </si>
  <si>
    <r>
      <t>ロードセル</t>
    </r>
    <r>
      <rPr>
        <b/>
        <sz val="14"/>
        <rFont val="Times New Roman"/>
        <family val="1"/>
      </rPr>
      <t xml:space="preserve">  (LC)
(Load cell(s))</t>
    </r>
  </si>
  <si>
    <r>
      <t xml:space="preserve">精度等級
</t>
    </r>
    <r>
      <rPr>
        <sz val="14"/>
        <rFont val="Times New Roman"/>
        <family val="1"/>
      </rPr>
      <t>(accuracy class)</t>
    </r>
  </si>
  <si>
    <r>
      <t>（</t>
    </r>
    <r>
      <rPr>
        <sz val="14"/>
        <rFont val="Times New Roman"/>
        <family val="1"/>
      </rPr>
      <t>8</t>
    </r>
    <r>
      <rPr>
        <sz val="14"/>
        <rFont val="ＭＳ Ｐ明朝"/>
        <family val="1"/>
      </rPr>
      <t>）指示計に対する一般的な最小入力電圧及び目量当たりの最小入力電圧及びロードセルの出力</t>
    </r>
  </si>
  <si>
    <r>
      <t xml:space="preserve">最大定格荷重
</t>
    </r>
    <r>
      <rPr>
        <sz val="14"/>
        <rFont val="Times New Roman"/>
        <family val="1"/>
      </rPr>
      <t>(maximum capacity)</t>
    </r>
  </si>
  <si>
    <r>
      <t>E</t>
    </r>
    <r>
      <rPr>
        <vertAlign val="subscript"/>
        <sz val="14"/>
        <rFont val="Times New Roman"/>
        <family val="1"/>
      </rPr>
      <t>max</t>
    </r>
  </si>
  <si>
    <r>
      <t xml:space="preserve">最小荷重
</t>
    </r>
    <r>
      <rPr>
        <sz val="14"/>
        <rFont val="Times New Roman"/>
        <family val="1"/>
      </rPr>
      <t>(minimum dead capacity)</t>
    </r>
  </si>
  <si>
    <r>
      <t>E</t>
    </r>
    <r>
      <rPr>
        <vertAlign val="subscript"/>
        <sz val="14"/>
        <rFont val="Times New Roman"/>
        <family val="1"/>
      </rPr>
      <t>min</t>
    </r>
  </si>
  <si>
    <r>
      <t xml:space="preserve">定格出力
</t>
    </r>
    <r>
      <rPr>
        <sz val="14"/>
        <rFont val="Times New Roman"/>
        <family val="1"/>
      </rPr>
      <t>(rated output)</t>
    </r>
  </si>
  <si>
    <r>
      <t xml:space="preserve">目量の数の最大数
</t>
    </r>
    <r>
      <rPr>
        <sz val="14"/>
        <rFont val="Times New Roman"/>
        <family val="1"/>
      </rPr>
      <t>(maximum number of verification scale intervals)</t>
    </r>
  </si>
  <si>
    <r>
      <t>n</t>
    </r>
    <r>
      <rPr>
        <vertAlign val="subscript"/>
        <sz val="14"/>
        <rFont val="Times New Roman"/>
        <family val="1"/>
      </rPr>
      <t>LC</t>
    </r>
  </si>
  <si>
    <r>
      <t xml:space="preserve">ロードセルの最小目量
</t>
    </r>
    <r>
      <rPr>
        <sz val="14"/>
        <rFont val="Times New Roman"/>
        <family val="1"/>
      </rPr>
      <t>(minimum verification scale interval)</t>
    </r>
    <r>
      <rPr>
        <sz val="14"/>
        <rFont val="ＭＳ Ｐ明朝"/>
        <family val="1"/>
      </rPr>
      <t>　　　　　　　</t>
    </r>
    <r>
      <rPr>
        <sz val="14"/>
        <color indexed="10"/>
        <rFont val="ＭＳ Ｐ明朝"/>
        <family val="1"/>
      </rPr>
      <t>又は</t>
    </r>
  </si>
  <si>
    <r>
      <t>v</t>
    </r>
    <r>
      <rPr>
        <vertAlign val="subscript"/>
        <sz val="14"/>
        <rFont val="Times New Roman"/>
        <family val="1"/>
      </rPr>
      <t>min</t>
    </r>
  </si>
  <si>
    <r>
      <t>（</t>
    </r>
    <r>
      <rPr>
        <sz val="14"/>
        <rFont val="Times New Roman"/>
        <family val="1"/>
      </rPr>
      <t>9</t>
    </r>
    <r>
      <rPr>
        <sz val="14"/>
        <rFont val="ＭＳ Ｐ明朝"/>
        <family val="1"/>
      </rPr>
      <t>）指示計に対する許容インピーダンス範囲及び実ロードセルインピーダンス（</t>
    </r>
    <r>
      <rPr>
        <sz val="14"/>
        <rFont val="Times New Roman"/>
        <family val="1"/>
      </rPr>
      <t>Ω</t>
    </r>
    <r>
      <rPr>
        <sz val="14"/>
        <rFont val="ＭＳ Ｐ明朝"/>
        <family val="1"/>
      </rPr>
      <t>）</t>
    </r>
  </si>
  <si>
    <r>
      <t xml:space="preserve">Y = </t>
    </r>
    <r>
      <rPr>
        <sz val="14"/>
        <rFont val="ＭＳ Ｐ明朝"/>
        <family val="1"/>
      </rPr>
      <t>最大定格荷重</t>
    </r>
    <r>
      <rPr>
        <sz val="14"/>
        <rFont val="Times New Roman"/>
        <family val="1"/>
      </rPr>
      <t xml:space="preserve"> ÷ </t>
    </r>
    <r>
      <rPr>
        <sz val="14"/>
        <rFont val="ＭＳ Ｐ明朝"/>
        <family val="1"/>
      </rPr>
      <t xml:space="preserve">最小目量
</t>
    </r>
    <r>
      <rPr>
        <sz val="14"/>
        <rFont val="Times New Roman"/>
        <family val="1"/>
      </rPr>
      <t>(Y = E</t>
    </r>
    <r>
      <rPr>
        <vertAlign val="subscript"/>
        <sz val="14"/>
        <rFont val="Times New Roman"/>
        <family val="1"/>
      </rPr>
      <t>max</t>
    </r>
    <r>
      <rPr>
        <sz val="14"/>
        <rFont val="Times New Roman"/>
        <family val="1"/>
      </rPr>
      <t xml:space="preserve"> / V</t>
    </r>
    <r>
      <rPr>
        <vertAlign val="subscript"/>
        <sz val="14"/>
        <rFont val="Times New Roman"/>
        <family val="1"/>
      </rPr>
      <t>min</t>
    </r>
    <r>
      <rPr>
        <sz val="14"/>
        <rFont val="Times New Roman"/>
        <family val="1"/>
      </rPr>
      <t>)</t>
    </r>
  </si>
  <si>
    <r>
      <t>R</t>
    </r>
    <r>
      <rPr>
        <vertAlign val="subscript"/>
        <sz val="14"/>
        <rFont val="Times New Roman"/>
        <family val="1"/>
      </rPr>
      <t>Lmin</t>
    </r>
  </si>
  <si>
    <r>
      <t>R</t>
    </r>
    <r>
      <rPr>
        <vertAlign val="subscript"/>
        <sz val="14"/>
        <rFont val="Times New Roman"/>
        <family val="1"/>
      </rPr>
      <t>Lmax</t>
    </r>
  </si>
  <si>
    <r>
      <t xml:space="preserve">最小荷重の出力の戻り　　　　　　　　　　　　
</t>
    </r>
    <r>
      <rPr>
        <sz val="14"/>
        <rFont val="Times New Roman"/>
        <family val="1"/>
      </rPr>
      <t>(minimum dead load output return)</t>
    </r>
    <r>
      <rPr>
        <sz val="14"/>
        <rFont val="ＭＳ Ｐ明朝"/>
        <family val="1"/>
      </rPr>
      <t>　　　　　　</t>
    </r>
    <r>
      <rPr>
        <sz val="14"/>
        <rFont val="Times New Roman"/>
        <family val="1"/>
      </rPr>
      <t xml:space="preserve"> </t>
    </r>
    <r>
      <rPr>
        <sz val="14"/>
        <color indexed="10"/>
        <rFont val="ＭＳ Ｐ明朝"/>
        <family val="1"/>
      </rPr>
      <t>　又は</t>
    </r>
  </si>
  <si>
    <r>
      <t xml:space="preserve">最小荷重の出力の戻りとの比
</t>
    </r>
    <r>
      <rPr>
        <sz val="14"/>
        <rFont val="Times New Roman"/>
        <family val="1"/>
      </rPr>
      <t>(ratio Z = E</t>
    </r>
    <r>
      <rPr>
        <vertAlign val="subscript"/>
        <sz val="14"/>
        <rFont val="Times New Roman"/>
        <family val="1"/>
      </rPr>
      <t xml:space="preserve"> max</t>
    </r>
    <r>
      <rPr>
        <sz val="14"/>
        <rFont val="Times New Roman"/>
        <family val="1"/>
      </rPr>
      <t xml:space="preserve"> /(2 DR)) </t>
    </r>
  </si>
  <si>
    <r>
      <t xml:space="preserve">(10) </t>
    </r>
    <r>
      <rPr>
        <sz val="14"/>
        <rFont val="ＭＳ Ｐ明朝"/>
        <family val="1"/>
      </rPr>
      <t>ケーブルの芯断面当たりのロードセルと表示器間の延長ケーブル長</t>
    </r>
    <r>
      <rPr>
        <sz val="14"/>
        <rFont val="Times New Roman"/>
        <family val="1"/>
      </rPr>
      <t>(m/mm²)</t>
    </r>
  </si>
  <si>
    <r>
      <t xml:space="preserve">ロードセルの入力抵抗
</t>
    </r>
    <r>
      <rPr>
        <sz val="14"/>
        <rFont val="Times New Roman"/>
        <family val="1"/>
      </rPr>
      <t>(input resistance of single load cell)</t>
    </r>
  </si>
  <si>
    <r>
      <t>R</t>
    </r>
    <r>
      <rPr>
        <vertAlign val="subscript"/>
        <sz val="14"/>
        <rFont val="Times New Roman"/>
        <family val="1"/>
      </rPr>
      <t>LC</t>
    </r>
  </si>
  <si>
    <t>Ω</t>
  </si>
  <si>
    <t>適合</t>
  </si>
  <si>
    <r>
      <t>p</t>
    </r>
    <r>
      <rPr>
        <vertAlign val="subscript"/>
        <sz val="14"/>
        <rFont val="Times New Roman"/>
        <family val="1"/>
      </rPr>
      <t>LC</t>
    </r>
  </si>
  <si>
    <r>
      <t>p</t>
    </r>
    <r>
      <rPr>
        <vertAlign val="subscript"/>
        <sz val="14"/>
        <rFont val="Times New Roman"/>
        <family val="1"/>
      </rPr>
      <t>con</t>
    </r>
  </si>
  <si>
    <r>
      <t>T</t>
    </r>
    <r>
      <rPr>
        <vertAlign val="subscript"/>
        <sz val="14"/>
        <rFont val="Times New Roman"/>
        <family val="1"/>
      </rPr>
      <t>min</t>
    </r>
  </si>
  <si>
    <r>
      <t>T</t>
    </r>
    <r>
      <rPr>
        <vertAlign val="subscript"/>
        <sz val="14"/>
        <rFont val="Times New Roman"/>
        <family val="1"/>
      </rPr>
      <t>max</t>
    </r>
  </si>
  <si>
    <r>
      <t>p</t>
    </r>
    <r>
      <rPr>
        <vertAlign val="subscript"/>
        <sz val="14"/>
        <rFont val="Times New Roman"/>
        <family val="1"/>
      </rPr>
      <t>con</t>
    </r>
    <r>
      <rPr>
        <vertAlign val="superscript"/>
        <sz val="14"/>
        <rFont val="Times New Roman"/>
        <family val="1"/>
      </rPr>
      <t>2</t>
    </r>
  </si>
  <si>
    <r>
      <t>p</t>
    </r>
    <r>
      <rPr>
        <vertAlign val="subscript"/>
        <sz val="14"/>
        <rFont val="Times New Roman"/>
        <family val="1"/>
      </rPr>
      <t>ind</t>
    </r>
    <r>
      <rPr>
        <vertAlign val="superscript"/>
        <sz val="14"/>
        <rFont val="Times New Roman"/>
        <family val="1"/>
      </rPr>
      <t>2</t>
    </r>
  </si>
  <si>
    <r>
      <t>p</t>
    </r>
    <r>
      <rPr>
        <vertAlign val="subscript"/>
        <sz val="14"/>
        <rFont val="Times New Roman"/>
        <family val="1"/>
      </rPr>
      <t>LC</t>
    </r>
    <r>
      <rPr>
        <vertAlign val="superscript"/>
        <sz val="14"/>
        <rFont val="Times New Roman"/>
        <family val="1"/>
      </rPr>
      <t>2</t>
    </r>
  </si>
  <si>
    <r>
      <t>n</t>
    </r>
    <r>
      <rPr>
        <vertAlign val="subscript"/>
        <sz val="14"/>
        <rFont val="Times New Roman"/>
        <family val="1"/>
      </rPr>
      <t>ind</t>
    </r>
  </si>
  <si>
    <r>
      <t>n</t>
    </r>
    <r>
      <rPr>
        <vertAlign val="subscript"/>
        <sz val="14"/>
        <rFont val="Times New Roman"/>
        <family val="1"/>
      </rPr>
      <t>i</t>
    </r>
    <r>
      <rPr>
        <sz val="14"/>
        <rFont val="Times New Roman"/>
        <family val="1"/>
      </rPr>
      <t>=Max</t>
    </r>
    <r>
      <rPr>
        <i/>
        <vertAlign val="subscript"/>
        <sz val="14"/>
        <rFont val="Times New Roman"/>
        <family val="1"/>
      </rPr>
      <t>i</t>
    </r>
    <r>
      <rPr>
        <sz val="14"/>
        <rFont val="Times New Roman"/>
        <family val="1"/>
      </rPr>
      <t>/</t>
    </r>
    <r>
      <rPr>
        <i/>
        <sz val="14"/>
        <rFont val="Times New Roman"/>
        <family val="1"/>
      </rPr>
      <t>e</t>
    </r>
    <r>
      <rPr>
        <i/>
        <vertAlign val="subscript"/>
        <sz val="14"/>
        <rFont val="Times New Roman"/>
        <family val="1"/>
      </rPr>
      <t>i</t>
    </r>
  </si>
  <si>
    <r>
      <t>Q</t>
    </r>
    <r>
      <rPr>
        <sz val="14"/>
        <rFont val="Times New Roman"/>
        <family val="1"/>
      </rPr>
      <t>×Max×</t>
    </r>
    <r>
      <rPr>
        <i/>
        <sz val="14"/>
        <rFont val="Times New Roman"/>
        <family val="1"/>
      </rPr>
      <t>R</t>
    </r>
    <r>
      <rPr>
        <sz val="14"/>
        <rFont val="Times New Roman"/>
        <family val="1"/>
      </rPr>
      <t>/N</t>
    </r>
  </si>
  <si>
    <r>
      <t>E</t>
    </r>
    <r>
      <rPr>
        <vertAlign val="subscript"/>
        <sz val="14"/>
        <rFont val="Times New Roman"/>
        <family val="1"/>
      </rPr>
      <t>max</t>
    </r>
  </si>
  <si>
    <r>
      <t>n</t>
    </r>
    <r>
      <rPr>
        <vertAlign val="subscript"/>
        <sz val="14"/>
        <rFont val="Times New Roman"/>
        <family val="1"/>
      </rPr>
      <t>LC</t>
    </r>
  </si>
  <si>
    <r>
      <t>E</t>
    </r>
    <r>
      <rPr>
        <vertAlign val="subscript"/>
        <sz val="14"/>
        <rFont val="Times New Roman"/>
        <family val="1"/>
      </rPr>
      <t>min</t>
    </r>
  </si>
  <si>
    <r>
      <t>e</t>
    </r>
    <r>
      <rPr>
        <sz val="14"/>
        <rFont val="Times New Roman"/>
        <family val="1"/>
      </rPr>
      <t>×</t>
    </r>
    <r>
      <rPr>
        <i/>
        <sz val="14"/>
        <rFont val="Times New Roman"/>
        <family val="1"/>
      </rPr>
      <t>R</t>
    </r>
    <r>
      <rPr>
        <sz val="14"/>
        <rFont val="Times New Roman"/>
        <family val="1"/>
      </rPr>
      <t>/</t>
    </r>
    <r>
      <rPr>
        <sz val="14"/>
        <rFont val="ＭＳ Ｐ明朝"/>
        <family val="1"/>
      </rPr>
      <t>√</t>
    </r>
    <r>
      <rPr>
        <i/>
        <sz val="14"/>
        <rFont val="Times New Roman"/>
        <family val="1"/>
      </rPr>
      <t>N</t>
    </r>
  </si>
  <si>
    <r>
      <t>v</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Y</t>
    </r>
  </si>
  <si>
    <r>
      <t>U</t>
    </r>
    <r>
      <rPr>
        <vertAlign val="subscript"/>
        <sz val="14"/>
        <rFont val="Times New Roman"/>
        <family val="1"/>
      </rPr>
      <t>min</t>
    </r>
  </si>
  <si>
    <r>
      <t>Δ</t>
    </r>
    <r>
      <rPr>
        <i/>
        <sz val="14"/>
        <rFont val="Times New Roman"/>
        <family val="1"/>
      </rPr>
      <t>u</t>
    </r>
    <r>
      <rPr>
        <vertAlign val="subscript"/>
        <sz val="14"/>
        <rFont val="Times New Roman"/>
        <family val="1"/>
      </rPr>
      <t>min</t>
    </r>
  </si>
  <si>
    <r>
      <t>R</t>
    </r>
    <r>
      <rPr>
        <vertAlign val="subscript"/>
        <sz val="14"/>
        <rFont val="Times New Roman"/>
        <family val="1"/>
      </rPr>
      <t xml:space="preserve">LC </t>
    </r>
    <r>
      <rPr>
        <sz val="14"/>
        <rFont val="Times New Roman"/>
        <family val="1"/>
      </rPr>
      <t xml:space="preserve">/ </t>
    </r>
    <r>
      <rPr>
        <i/>
        <sz val="14"/>
        <rFont val="Times New Roman"/>
        <family val="1"/>
      </rPr>
      <t>N</t>
    </r>
  </si>
  <si>
    <r>
      <t>(</t>
    </r>
    <r>
      <rPr>
        <i/>
        <sz val="14"/>
        <rFont val="Times New Roman"/>
        <family val="1"/>
      </rPr>
      <t>L</t>
    </r>
    <r>
      <rPr>
        <sz val="14"/>
        <rFont val="Times New Roman"/>
        <family val="1"/>
      </rPr>
      <t>/</t>
    </r>
    <r>
      <rPr>
        <i/>
        <sz val="14"/>
        <rFont val="Times New Roman"/>
        <family val="1"/>
      </rPr>
      <t>A</t>
    </r>
    <r>
      <rPr>
        <sz val="14"/>
        <rFont val="Times New Roman"/>
        <family val="1"/>
      </rPr>
      <t>)</t>
    </r>
  </si>
  <si>
    <r>
      <t>(</t>
    </r>
    <r>
      <rPr>
        <i/>
        <sz val="14"/>
        <rFont val="Times New Roman"/>
        <family val="1"/>
      </rPr>
      <t>L</t>
    </r>
    <r>
      <rPr>
        <sz val="14"/>
        <rFont val="Times New Roman"/>
        <family val="1"/>
      </rPr>
      <t>/</t>
    </r>
    <r>
      <rPr>
        <i/>
        <sz val="14"/>
        <rFont val="Times New Roman"/>
        <family val="1"/>
      </rPr>
      <t>A</t>
    </r>
    <r>
      <rPr>
        <sz val="14"/>
        <rFont val="Times New Roman"/>
        <family val="1"/>
      </rPr>
      <t>)</t>
    </r>
    <r>
      <rPr>
        <vertAlign val="subscript"/>
        <sz val="14"/>
        <rFont val="Times New Roman"/>
        <family val="1"/>
      </rPr>
      <t>max</t>
    </r>
  </si>
  <si>
    <r>
      <t xml:space="preserve">指示装置
</t>
    </r>
    <r>
      <rPr>
        <b/>
        <sz val="14"/>
        <rFont val="Times New Roman"/>
        <family val="1"/>
      </rPr>
      <t>(Indicator)</t>
    </r>
  </si>
  <si>
    <t>製造事業者名</t>
  </si>
  <si>
    <t>型式</t>
  </si>
  <si>
    <r>
      <t>Δ</t>
    </r>
    <r>
      <rPr>
        <i/>
        <sz val="14"/>
        <rFont val="Times New Roman"/>
        <family val="1"/>
      </rP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sz val="14"/>
        <rFont val="Times New Roman"/>
        <family val="1"/>
      </rPr>
      <t>×</t>
    </r>
    <r>
      <rPr>
        <i/>
        <sz val="14"/>
        <rFont val="Times New Roman"/>
        <family val="1"/>
      </rPr>
      <t>R</t>
    </r>
    <r>
      <rPr>
        <sz val="14"/>
        <rFont val="Times New Roman"/>
        <family val="1"/>
      </rPr>
      <t>×e/(</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</si>
  <si>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t>成績書番号</t>
  </si>
  <si>
    <r>
      <t>荷重受け部の荷重</t>
    </r>
    <r>
      <rPr>
        <sz val="14"/>
        <rFont val="Times New Roman"/>
        <family val="1"/>
      </rPr>
      <t xml:space="preserve"> 
(dead load of load receptor)</t>
    </r>
  </si>
  <si>
    <r>
      <t xml:space="preserve">下限
</t>
    </r>
    <r>
      <rPr>
        <sz val="12"/>
        <rFont val="Times New Roman"/>
        <family val="1"/>
      </rPr>
      <t>(DL</t>
    </r>
    <r>
      <rPr>
        <vertAlign val="subscript"/>
        <sz val="12"/>
        <rFont val="Times New Roman"/>
        <family val="1"/>
      </rPr>
      <t>min</t>
    </r>
    <r>
      <rPr>
        <sz val="12"/>
        <rFont val="Times New Roman"/>
        <family val="1"/>
      </rPr>
      <t>)</t>
    </r>
  </si>
  <si>
    <r>
      <t xml:space="preserve">上限
</t>
    </r>
    <r>
      <rPr>
        <sz val="12"/>
        <rFont val="Times New Roman"/>
        <family val="1"/>
      </rPr>
      <t>(DL</t>
    </r>
    <r>
      <rPr>
        <vertAlign val="subscript"/>
        <sz val="12"/>
        <rFont val="Times New Roman"/>
        <family val="1"/>
      </rPr>
      <t>max</t>
    </r>
    <r>
      <rPr>
        <sz val="12"/>
        <rFont val="Times New Roman"/>
        <family val="1"/>
      </rPr>
      <t>)</t>
    </r>
  </si>
  <si>
    <r>
      <t>係数</t>
    </r>
    <r>
      <rPr>
        <i/>
        <sz val="14"/>
        <rFont val="Times New Roman"/>
        <family val="1"/>
      </rPr>
      <t>Q</t>
    </r>
    <r>
      <rPr>
        <sz val="14"/>
        <rFont val="Times New Roman"/>
        <family val="1"/>
      </rPr>
      <t>:</t>
    </r>
    <r>
      <rPr>
        <sz val="14"/>
        <rFont val="ＭＳ Ｐ明朝"/>
        <family val="1"/>
      </rPr>
      <t>　</t>
    </r>
    <r>
      <rPr>
        <i/>
        <sz val="14"/>
        <rFont val="Times New Roman"/>
        <family val="1"/>
      </rPr>
      <t>Q</t>
    </r>
    <r>
      <rPr>
        <sz val="14"/>
        <rFont val="ＭＳ Ｐ明朝"/>
        <family val="1"/>
      </rPr>
      <t>＝</t>
    </r>
    <r>
      <rPr>
        <sz val="14"/>
        <rFont val="Times New Roman"/>
        <family val="1"/>
      </rPr>
      <t>(Max</t>
    </r>
    <r>
      <rPr>
        <sz val="14"/>
        <rFont val="ＭＳ Ｐ明朝"/>
        <family val="1"/>
      </rPr>
      <t>＋</t>
    </r>
    <r>
      <rPr>
        <sz val="14"/>
        <rFont val="Times New Roman"/>
        <family val="1"/>
      </rPr>
      <t>DL</t>
    </r>
    <r>
      <rPr>
        <vertAlign val="subscript"/>
        <sz val="14"/>
        <rFont val="Times New Roman"/>
        <family val="1"/>
      </rPr>
      <t>max</t>
    </r>
    <r>
      <rPr>
        <sz val="14"/>
        <rFont val="ＭＳ Ｐ明朝"/>
        <family val="1"/>
      </rPr>
      <t>＋</t>
    </r>
    <r>
      <rPr>
        <sz val="14"/>
        <rFont val="Times New Roman"/>
        <family val="1"/>
      </rPr>
      <t>IZSR</t>
    </r>
    <r>
      <rPr>
        <sz val="14"/>
        <rFont val="ＭＳ Ｐ明朝"/>
        <family val="1"/>
      </rPr>
      <t>＋</t>
    </r>
    <r>
      <rPr>
        <sz val="14"/>
        <rFont val="Times New Roman"/>
        <family val="1"/>
      </rPr>
      <t>NUD</t>
    </r>
    <r>
      <rPr>
        <sz val="14"/>
        <rFont val="ＭＳ Ｐ明朝"/>
        <family val="1"/>
      </rPr>
      <t>＋</t>
    </r>
    <r>
      <rPr>
        <sz val="14"/>
        <rFont val="Times New Roman"/>
        <family val="1"/>
      </rPr>
      <t>T</t>
    </r>
    <r>
      <rPr>
        <vertAlign val="superscript"/>
        <sz val="14"/>
        <rFont val="ＭＳ Ｐ明朝"/>
        <family val="1"/>
      </rPr>
      <t>＋</t>
    </r>
    <r>
      <rPr>
        <sz val="14"/>
        <rFont val="Times New Roman"/>
        <family val="1"/>
      </rPr>
      <t>)/Max</t>
    </r>
    <r>
      <rPr>
        <sz val="14"/>
        <rFont val="ＭＳ Ｐ明朝"/>
        <family val="1"/>
      </rPr>
      <t>＝</t>
    </r>
  </si>
  <si>
    <r>
      <t>DL</t>
    </r>
    <r>
      <rPr>
        <vertAlign val="subscript"/>
        <sz val="14"/>
        <rFont val="Times New Roman"/>
        <family val="1"/>
      </rPr>
      <t>min</t>
    </r>
    <r>
      <rPr>
        <sz val="14"/>
        <rFont val="Times New Roman"/>
        <family val="1"/>
      </rPr>
      <t>×</t>
    </r>
    <r>
      <rPr>
        <i/>
        <sz val="14"/>
        <rFont val="Times New Roman"/>
        <family val="1"/>
      </rPr>
      <t>R</t>
    </r>
    <r>
      <rPr>
        <sz val="14"/>
        <rFont val="Times New Roman"/>
        <family val="1"/>
      </rPr>
      <t>/</t>
    </r>
    <r>
      <rPr>
        <i/>
        <sz val="14"/>
        <rFont val="Times New Roman"/>
        <family val="1"/>
      </rPr>
      <t>N</t>
    </r>
  </si>
  <si>
    <r>
      <t>U</t>
    </r>
    <r>
      <rPr>
        <sz val="14"/>
        <rFont val="Times New Roman"/>
        <family val="1"/>
      </rPr>
      <t xml:space="preserve"> =</t>
    </r>
    <r>
      <rPr>
        <i/>
        <sz val="14"/>
        <rFont val="Times New Roman"/>
        <family val="1"/>
      </rPr>
      <t>C</t>
    </r>
    <r>
      <rPr>
        <sz val="14"/>
        <rFont val="Times New Roman"/>
        <family val="1"/>
      </rPr>
      <t>×</t>
    </r>
    <r>
      <rPr>
        <i/>
        <sz val="14"/>
        <rFont val="Times New Roman"/>
        <family val="1"/>
      </rPr>
      <t>U</t>
    </r>
    <r>
      <rPr>
        <vertAlign val="subscript"/>
        <sz val="14"/>
        <rFont val="Times New Roman"/>
        <family val="1"/>
      </rPr>
      <t>exc</t>
    </r>
    <r>
      <rPr>
        <sz val="14"/>
        <rFont val="Times New Roman"/>
        <family val="1"/>
      </rPr>
      <t>×</t>
    </r>
    <r>
      <rPr>
        <i/>
        <sz val="14"/>
        <rFont val="Times New Roman"/>
        <family val="1"/>
      </rPr>
      <t>R</t>
    </r>
    <r>
      <rPr>
        <sz val="14"/>
        <rFont val="Times New Roman"/>
        <family val="1"/>
      </rPr>
      <t>×DL</t>
    </r>
    <r>
      <rPr>
        <vertAlign val="subscript"/>
        <sz val="14"/>
        <rFont val="Times New Roman"/>
        <family val="1"/>
      </rPr>
      <t>min</t>
    </r>
    <r>
      <rPr>
        <sz val="14"/>
        <rFont val="Times New Roman"/>
        <family val="1"/>
      </rPr>
      <t>/(</t>
    </r>
    <r>
      <rPr>
        <i/>
        <sz val="14"/>
        <rFont val="Times New Roman"/>
        <family val="1"/>
      </rPr>
      <t>E</t>
    </r>
    <r>
      <rPr>
        <vertAlign val="subscript"/>
        <sz val="14"/>
        <rFont val="Times New Roman"/>
        <family val="1"/>
      </rPr>
      <t>max</t>
    </r>
    <r>
      <rPr>
        <sz val="14"/>
        <rFont val="Times New Roman"/>
        <family val="1"/>
      </rPr>
      <t>×</t>
    </r>
    <r>
      <rPr>
        <i/>
        <sz val="14"/>
        <rFont val="Times New Roman"/>
        <family val="1"/>
      </rPr>
      <t>N</t>
    </r>
    <r>
      <rPr>
        <sz val="14"/>
        <rFont val="Times New Roman"/>
        <family val="1"/>
      </rPr>
      <t>)</t>
    </r>
  </si>
  <si>
    <t>　</t>
  </si>
  <si>
    <r>
      <t>デジタル出力モジュールの適合性チェック</t>
    </r>
    <r>
      <rPr>
        <b/>
        <sz val="14"/>
        <rFont val="Times New Roman"/>
        <family val="1"/>
      </rPr>
      <t xml:space="preserve"> </t>
    </r>
    <r>
      <rPr>
        <b/>
        <sz val="14"/>
        <rFont val="ＭＳ Ｐ明朝"/>
        <family val="1"/>
      </rPr>
      <t>－単目量はかり－</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</si>
</sst>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000000000"/>
    <numFmt numFmtId="185" formatCode="0.0000000000"/>
    <numFmt numFmtId="186" formatCode="0.00000000"/>
    <numFmt numFmtId="187" formatCode="0.0000000"/>
    <numFmt numFmtId="188" formatCode="0.000000"/>
    <numFmt numFmtId="189" formatCode="0.00000"/>
    <numFmt numFmtId="190" formatCode="0.0000"/>
    <numFmt numFmtId="191" formatCode="0.000"/>
    <numFmt numFmtId="192" formatCode="0.00000000000"/>
    <numFmt numFmtId="193" formatCode="0.0"/>
    <numFmt numFmtId="194" formatCode="yyyy\-mm\-dd"/>
    <numFmt numFmtId="195" formatCode="0.0_ "/>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0_ "/>
  </numFmts>
  <fonts count="71">
    <font>
      <sz val="10"/>
      <name val="Arial"/>
      <family val="2"/>
    </font>
    <font>
      <b/>
      <sz val="10"/>
      <name val="Arial"/>
      <family val="2"/>
    </font>
    <font>
      <sz val="10"/>
      <name val="Symbol"/>
      <family val="1"/>
    </font>
    <font>
      <sz val="11"/>
      <name val="Arial"/>
      <family val="2"/>
    </font>
    <font>
      <sz val="8"/>
      <name val="Arial"/>
      <family val="2"/>
    </font>
    <font>
      <vertAlign val="subscript"/>
      <sz val="10"/>
      <name val="Arial"/>
      <family val="2"/>
    </font>
    <font>
      <sz val="9"/>
      <name val="Arial"/>
      <family val="2"/>
    </font>
    <font>
      <i/>
      <sz val="9"/>
      <name val="Arial"/>
      <family val="2"/>
    </font>
    <font>
      <i/>
      <vertAlign val="subscript"/>
      <sz val="9"/>
      <name val="Arial"/>
      <family val="2"/>
    </font>
    <font>
      <sz val="9"/>
      <name val="Symbol"/>
      <family val="1"/>
    </font>
    <font>
      <i/>
      <vertAlign val="superscript"/>
      <sz val="9"/>
      <name val="Arial"/>
      <family val="2"/>
    </font>
    <font>
      <i/>
      <sz val="9"/>
      <name val="Symbol"/>
      <family val="1"/>
    </font>
    <font>
      <sz val="10"/>
      <color indexed="9"/>
      <name val="Arial"/>
      <family val="2"/>
    </font>
    <font>
      <sz val="10"/>
      <color indexed="11"/>
      <name val="Arial"/>
      <family val="2"/>
    </font>
    <font>
      <sz val="8"/>
      <color indexed="11"/>
      <name val="Arial"/>
      <family val="2"/>
    </font>
    <font>
      <sz val="10"/>
      <name val="Arial Narrow"/>
      <family val="2"/>
    </font>
    <font>
      <vertAlign val="subscript"/>
      <sz val="10"/>
      <name val="Arial Narrow"/>
      <family val="2"/>
    </font>
    <font>
      <sz val="9"/>
      <name val="Arial Narrow"/>
      <family val="2"/>
    </font>
    <font>
      <sz val="8"/>
      <name val="Arial Narrow"/>
      <family val="2"/>
    </font>
    <font>
      <i/>
      <sz val="11"/>
      <name val="Arial"/>
      <family val="2"/>
    </font>
    <font>
      <sz val="6"/>
      <name val="ＭＳ Ｐゴシック"/>
      <family val="3"/>
    </font>
    <font>
      <b/>
      <sz val="14"/>
      <name val="ＭＳ Ｐ明朝"/>
      <family val="1"/>
    </font>
    <font>
      <sz val="14"/>
      <name val="ＭＳ Ｐ明朝"/>
      <family val="1"/>
    </font>
    <font>
      <vertAlign val="superscript"/>
      <sz val="14"/>
      <name val="ＭＳ Ｐ明朝"/>
      <family val="1"/>
    </font>
    <font>
      <sz val="14"/>
      <color indexed="8"/>
      <name val="ＭＳ Ｐ明朝"/>
      <family val="1"/>
    </font>
    <font>
      <sz val="14"/>
      <color indexed="10"/>
      <name val="ＭＳ Ｐ明朝"/>
      <family val="1"/>
    </font>
    <font>
      <b/>
      <sz val="14"/>
      <name val="Times New Roman"/>
      <family val="1"/>
    </font>
    <font>
      <sz val="14"/>
      <name val="Times New Roman"/>
      <family val="1"/>
    </font>
    <font>
      <sz val="14"/>
      <color indexed="9"/>
      <name val="Times New Roman"/>
      <family val="1"/>
    </font>
    <font>
      <sz val="14"/>
      <color indexed="11"/>
      <name val="Times New Roman"/>
      <family val="1"/>
    </font>
    <font>
      <vertAlign val="subscript"/>
      <sz val="14"/>
      <name val="Times New Roman"/>
      <family val="1"/>
    </font>
    <font>
      <vertAlign val="superscript"/>
      <sz val="14"/>
      <name val="Times New Roman"/>
      <family val="1"/>
    </font>
    <font>
      <sz val="14"/>
      <color indexed="8"/>
      <name val="Times New Roman"/>
      <family val="1"/>
    </font>
    <font>
      <i/>
      <sz val="14"/>
      <name val="Times New Roman"/>
      <family val="1"/>
    </font>
    <font>
      <i/>
      <vertAlign val="subscript"/>
      <sz val="14"/>
      <name val="Times New Roman"/>
      <family val="1"/>
    </font>
    <font>
      <sz val="12"/>
      <name val="Times New Roman"/>
      <family val="1"/>
    </font>
    <font>
      <vertAlign val="subscript"/>
      <sz val="12"/>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rgb="FFCCFFCC"/>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dotted">
        <color indexed="11"/>
      </left>
      <right style="dotted">
        <color indexed="11"/>
      </right>
      <top style="dotted">
        <color indexed="11"/>
      </top>
      <bottom style="dotted">
        <color indexed="11"/>
      </bottom>
    </border>
    <border>
      <left>
        <color indexed="63"/>
      </left>
      <right style="thin"/>
      <top>
        <color indexed="63"/>
      </top>
      <bottom>
        <color indexed="63"/>
      </bottom>
    </border>
    <border>
      <left style="medium"/>
      <right style="thin"/>
      <top style="medium"/>
      <bottom>
        <color indexed="63"/>
      </bottom>
    </border>
    <border>
      <left style="thin"/>
      <right style="thin"/>
      <top style="thin"/>
      <bottom>
        <color indexed="63"/>
      </bottom>
    </border>
    <border>
      <left style="thin"/>
      <right style="medium"/>
      <top style="thin"/>
      <bottom style="thin"/>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style="thin"/>
      <right>
        <color indexed="63"/>
      </right>
      <top style="thin"/>
      <bottom style="dotted"/>
    </border>
    <border>
      <left style="medium"/>
      <right>
        <color indexed="63"/>
      </right>
      <top style="medium"/>
      <bottom style="medium"/>
    </border>
    <border>
      <left style="thin"/>
      <right>
        <color indexed="63"/>
      </right>
      <top style="medium"/>
      <bottom style="medium"/>
    </border>
    <border>
      <left>
        <color indexed="63"/>
      </left>
      <right>
        <color indexed="63"/>
      </right>
      <top>
        <color indexed="63"/>
      </top>
      <bottom style="medium"/>
    </border>
    <border>
      <left style="thin"/>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thin"/>
      <right style="medium"/>
      <top style="thin"/>
      <bottom>
        <color indexed="63"/>
      </bottom>
    </border>
    <border>
      <left>
        <color indexed="63"/>
      </left>
      <right>
        <color indexed="63"/>
      </right>
      <top style="medium"/>
      <bottom style="medium"/>
    </border>
    <border>
      <left style="medium"/>
      <right style="thin"/>
      <top>
        <color indexed="63"/>
      </top>
      <bottom style="medium"/>
    </border>
    <border>
      <left style="thin"/>
      <right style="medium"/>
      <top style="thin"/>
      <bottom style="medium"/>
    </border>
    <border>
      <left style="thin"/>
      <right>
        <color indexed="63"/>
      </right>
      <top style="dotted"/>
      <bottom style="thin"/>
    </border>
    <border>
      <left style="thin"/>
      <right style="medium"/>
      <top style="dotted"/>
      <bottom style="thin"/>
    </border>
    <border>
      <left style="thin"/>
      <right style="medium"/>
      <top>
        <color indexed="63"/>
      </top>
      <bottom style="dotted"/>
    </border>
    <border>
      <left style="thin"/>
      <right style="medium"/>
      <top>
        <color indexed="63"/>
      </top>
      <bottom>
        <color indexed="63"/>
      </bottom>
    </border>
    <border>
      <left style="thin"/>
      <right style="medium"/>
      <top style="medium"/>
      <bottom style="medium"/>
    </border>
    <border>
      <left style="thin"/>
      <right style="thin"/>
      <top style="medium"/>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
      <left>
        <color indexed="63"/>
      </left>
      <right style="thin"/>
      <top style="medium"/>
      <bottom style="thin"/>
    </border>
    <border>
      <left>
        <color indexed="63"/>
      </left>
      <right style="thin"/>
      <top style="medium"/>
      <bottom style="medium"/>
    </border>
    <border>
      <left>
        <color indexed="63"/>
      </left>
      <right style="thin"/>
      <top style="thin"/>
      <bottom style="medium"/>
    </border>
    <border>
      <left style="thin"/>
      <right>
        <color indexed="63"/>
      </right>
      <top style="dashed"/>
      <bottom style="thin"/>
    </border>
    <border>
      <left>
        <color indexed="63"/>
      </left>
      <right style="thin"/>
      <top style="dashed"/>
      <bottom style="thin"/>
    </border>
    <border>
      <left>
        <color indexed="63"/>
      </left>
      <right style="thin"/>
      <top style="thin"/>
      <bottom style="dotted"/>
    </border>
    <border>
      <left>
        <color indexed="63"/>
      </left>
      <right style="thin"/>
      <top style="dotted"/>
      <bottom style="thin"/>
    </border>
    <border>
      <left style="thin"/>
      <right>
        <color indexed="63"/>
      </right>
      <top style="thin"/>
      <bottom style="dashed"/>
    </border>
    <border>
      <left>
        <color indexed="63"/>
      </left>
      <right style="thin"/>
      <top style="thin"/>
      <bottom style="dashed"/>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361">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centerContinuous"/>
    </xf>
    <xf numFmtId="0" fontId="0" fillId="0" borderId="10" xfId="0" applyBorder="1" applyAlignment="1">
      <alignment/>
    </xf>
    <xf numFmtId="0" fontId="0" fillId="0" borderId="0" xfId="0" applyNumberFormat="1" applyAlignment="1">
      <alignment/>
    </xf>
    <xf numFmtId="0" fontId="9"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3" fillId="34" borderId="12" xfId="0" applyFont="1" applyFill="1" applyBorder="1" applyAlignment="1">
      <alignment/>
    </xf>
    <xf numFmtId="0" fontId="3" fillId="34" borderId="0" xfId="0" applyFont="1" applyFill="1" applyBorder="1" applyAlignment="1">
      <alignment/>
    </xf>
    <xf numFmtId="0" fontId="0" fillId="34" borderId="0" xfId="0" applyFill="1" applyAlignment="1">
      <alignment/>
    </xf>
    <xf numFmtId="0" fontId="6" fillId="33" borderId="11" xfId="0" applyFont="1" applyFill="1" applyBorder="1" applyAlignment="1">
      <alignment horizontal="center" vertical="center"/>
    </xf>
    <xf numFmtId="0" fontId="6" fillId="33" borderId="13" xfId="0" applyFont="1" applyFill="1" applyBorder="1" applyAlignment="1">
      <alignment vertical="center"/>
    </xf>
    <xf numFmtId="0" fontId="0" fillId="33" borderId="0" xfId="0" applyFill="1" applyAlignment="1">
      <alignment horizontal="centerContinuous" vertical="center"/>
    </xf>
    <xf numFmtId="0" fontId="0" fillId="34" borderId="12" xfId="0" applyFill="1" applyBorder="1" applyAlignment="1">
      <alignment/>
    </xf>
    <xf numFmtId="0" fontId="3" fillId="34" borderId="12" xfId="0" applyFont="1" applyFill="1" applyBorder="1" applyAlignment="1">
      <alignment horizontal="center"/>
    </xf>
    <xf numFmtId="0" fontId="0" fillId="34" borderId="0" xfId="0" applyFill="1" applyAlignment="1">
      <alignment horizontal="center"/>
    </xf>
    <xf numFmtId="0" fontId="0" fillId="0" borderId="0" xfId="0" applyAlignment="1" applyProtection="1">
      <alignment/>
      <protection/>
    </xf>
    <xf numFmtId="0" fontId="6" fillId="0" borderId="14" xfId="0" applyFont="1" applyFill="1" applyBorder="1" applyAlignment="1">
      <alignment vertical="center"/>
    </xf>
    <xf numFmtId="0" fontId="6" fillId="0" borderId="15" xfId="0" applyFont="1" applyFill="1" applyBorder="1" applyAlignment="1">
      <alignment vertical="center"/>
    </xf>
    <xf numFmtId="0" fontId="0" fillId="0" borderId="0" xfId="0" applyFill="1" applyAlignment="1">
      <alignment/>
    </xf>
    <xf numFmtId="0" fontId="0" fillId="0" borderId="0" xfId="0" applyFill="1" applyAlignment="1">
      <alignment vertical="center"/>
    </xf>
    <xf numFmtId="49" fontId="0" fillId="0" borderId="0" xfId="0" applyNumberFormat="1" applyFill="1" applyAlignment="1">
      <alignment vertical="center"/>
    </xf>
    <xf numFmtId="0" fontId="0" fillId="0" borderId="0" xfId="0" applyNumberFormat="1" applyFill="1" applyAlignment="1">
      <alignment horizontal="left" vertical="center" indent="1"/>
    </xf>
    <xf numFmtId="0" fontId="7"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0" xfId="0" applyFill="1" applyAlignment="1">
      <alignment horizontal="centerContinuous"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11" fillId="0" borderId="11" xfId="0" applyFont="1" applyFill="1" applyBorder="1" applyAlignment="1">
      <alignment horizontal="center" vertical="center"/>
    </xf>
    <xf numFmtId="0" fontId="0" fillId="0" borderId="0" xfId="0" applyNumberFormat="1" applyFill="1" applyAlignment="1">
      <alignment horizontal="center" vertical="center"/>
    </xf>
    <xf numFmtId="0" fontId="7"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horizontal="left" vertical="center" indent="1"/>
    </xf>
    <xf numFmtId="0" fontId="7" fillId="0" borderId="11" xfId="0" applyFont="1" applyFill="1" applyBorder="1" applyAlignment="1">
      <alignment horizontal="centerContinuous" vertical="center"/>
    </xf>
    <xf numFmtId="0" fontId="0" fillId="0" borderId="0" xfId="0" applyFill="1" applyBorder="1" applyAlignment="1">
      <alignment horizontal="center" vertical="center"/>
    </xf>
    <xf numFmtId="0" fontId="7" fillId="0" borderId="13" xfId="0" applyFont="1" applyFill="1" applyBorder="1" applyAlignment="1">
      <alignment horizontal="centerContinuous" vertical="center"/>
    </xf>
    <xf numFmtId="0" fontId="0" fillId="0" borderId="0" xfId="0" applyNumberFormat="1" applyFill="1" applyAlignment="1">
      <alignment/>
    </xf>
    <xf numFmtId="0" fontId="0" fillId="0" borderId="0" xfId="0" applyFill="1" applyBorder="1" applyAlignment="1">
      <alignment vertical="center"/>
    </xf>
    <xf numFmtId="0" fontId="0" fillId="0" borderId="0" xfId="0" applyFill="1" applyBorder="1" applyAlignment="1">
      <alignment horizontal="left" vertical="center"/>
    </xf>
    <xf numFmtId="0" fontId="6" fillId="0" borderId="11" xfId="0" applyFont="1" applyFill="1" applyBorder="1" applyAlignment="1">
      <alignment horizontal="center" vertical="center"/>
    </xf>
    <xf numFmtId="0" fontId="0" fillId="0" borderId="0" xfId="0" applyFill="1" applyAlignment="1">
      <alignment horizontal="center" vertical="center"/>
    </xf>
    <xf numFmtId="0" fontId="6" fillId="0" borderId="13" xfId="0" applyFont="1" applyFill="1" applyBorder="1" applyAlignment="1">
      <alignment vertical="center"/>
    </xf>
    <xf numFmtId="0" fontId="0" fillId="0" borderId="0" xfId="0" applyFill="1" applyAlignment="1">
      <alignment horizontal="center"/>
    </xf>
    <xf numFmtId="0" fontId="1"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0" xfId="0" applyFont="1" applyFill="1" applyBorder="1" applyAlignment="1" applyProtection="1">
      <alignment horizontal="right"/>
      <protection/>
    </xf>
    <xf numFmtId="0" fontId="3" fillId="0" borderId="12" xfId="0" applyFont="1" applyBorder="1" applyAlignment="1" applyProtection="1">
      <alignment/>
      <protection/>
    </xf>
    <xf numFmtId="0" fontId="0" fillId="0" borderId="12" xfId="0"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Fill="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4" xfId="0" applyFont="1" applyFill="1" applyBorder="1" applyAlignment="1" applyProtection="1">
      <alignment horizontal="centerContinuous" vertical="center"/>
      <protection/>
    </xf>
    <xf numFmtId="0" fontId="6" fillId="0" borderId="13" xfId="0" applyFont="1" applyFill="1" applyBorder="1" applyAlignment="1" applyProtection="1">
      <alignment horizontal="centerContinuous"/>
      <protection/>
    </xf>
    <xf numFmtId="0" fontId="6" fillId="0" borderId="11" xfId="0" applyFont="1" applyFill="1" applyBorder="1" applyAlignment="1" applyProtection="1">
      <alignment horizontal="centerContinuous" vertical="center"/>
      <protection/>
    </xf>
    <xf numFmtId="0" fontId="6" fillId="35"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Continuous" vertical="center"/>
      <protection/>
    </xf>
    <xf numFmtId="0" fontId="0" fillId="36" borderId="11" xfId="0" applyNumberFormat="1" applyFill="1" applyBorder="1" applyAlignment="1" applyProtection="1">
      <alignment horizontal="center" vertical="center"/>
      <protection/>
    </xf>
    <xf numFmtId="0" fontId="0" fillId="0" borderId="0" xfId="0" applyNumberFormat="1" applyFill="1" applyAlignment="1" applyProtection="1">
      <alignment horizontal="center" vertical="center"/>
      <protection/>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49" fontId="0" fillId="0" borderId="0" xfId="0" applyNumberFormat="1" applyFill="1" applyAlignment="1" applyProtection="1">
      <alignment horizontal="left" vertical="center" indent="1"/>
      <protection/>
    </xf>
    <xf numFmtId="0" fontId="6" fillId="0" borderId="12" xfId="0" applyFont="1" applyFill="1" applyBorder="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pplyProtection="1">
      <alignment horizontal="centerContinuous" vertical="center"/>
      <protection/>
    </xf>
    <xf numFmtId="0" fontId="6" fillId="33" borderId="18"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0" fillId="0" borderId="0" xfId="0" applyNumberFormat="1" applyAlignment="1" applyProtection="1">
      <alignment/>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horizontal="left" vertical="center" indent="1"/>
      <protection/>
    </xf>
    <xf numFmtId="0" fontId="6" fillId="0" borderId="16"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0" xfId="0" applyNumberFormat="1" applyFill="1" applyAlignment="1" applyProtection="1">
      <alignment/>
      <protection/>
    </xf>
    <xf numFmtId="2" fontId="6" fillId="35" borderId="11"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Continuous" vertical="center"/>
      <protection/>
    </xf>
    <xf numFmtId="0" fontId="7" fillId="0" borderId="13" xfId="0" applyFont="1" applyFill="1" applyBorder="1" applyAlignment="1" applyProtection="1">
      <alignment horizontal="centerContinuous" vertical="center"/>
      <protection/>
    </xf>
    <xf numFmtId="0" fontId="6" fillId="0" borderId="14"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2" fontId="6" fillId="35" borderId="11" xfId="0" applyNumberFormat="1" applyFont="1" applyFill="1" applyBorder="1" applyAlignment="1" applyProtection="1">
      <alignment horizontal="center" vertical="center"/>
      <protection/>
    </xf>
    <xf numFmtId="0" fontId="0" fillId="0" borderId="0" xfId="0" applyNumberFormat="1" applyFill="1" applyAlignment="1" applyProtection="1">
      <alignment horizontal="left" vertical="center" indent="1"/>
      <protection/>
    </xf>
    <xf numFmtId="0" fontId="11" fillId="0" borderId="11" xfId="0" applyFont="1" applyFill="1" applyBorder="1" applyAlignment="1" applyProtection="1">
      <alignment horizontal="center" vertical="center"/>
      <protection/>
    </xf>
    <xf numFmtId="49" fontId="0" fillId="0" borderId="0" xfId="0" applyNumberFormat="1" applyFill="1" applyAlignment="1" applyProtection="1">
      <alignment vertical="center"/>
      <protection/>
    </xf>
    <xf numFmtId="0" fontId="0" fillId="0" borderId="10" xfId="0" applyBorder="1" applyAlignment="1" applyProtection="1">
      <alignment/>
      <protection/>
    </xf>
    <xf numFmtId="0" fontId="4" fillId="0" borderId="10" xfId="0" applyFont="1" applyBorder="1" applyAlignment="1" applyProtection="1">
      <alignment/>
      <protection/>
    </xf>
    <xf numFmtId="0" fontId="4" fillId="0" borderId="10" xfId="0" applyFont="1" applyBorder="1" applyAlignment="1" applyProtection="1">
      <alignment horizontal="centerContinuous"/>
      <protection/>
    </xf>
    <xf numFmtId="0" fontId="4" fillId="0" borderId="0" xfId="0" applyFont="1" applyAlignment="1" applyProtection="1">
      <alignment/>
      <protection/>
    </xf>
    <xf numFmtId="0" fontId="6" fillId="33" borderId="14" xfId="0" applyFont="1" applyFill="1" applyBorder="1" applyAlignment="1" applyProtection="1">
      <alignment vertical="center"/>
      <protection/>
    </xf>
    <xf numFmtId="0" fontId="6" fillId="33" borderId="17" xfId="0" applyFont="1" applyFill="1" applyBorder="1" applyAlignment="1" applyProtection="1">
      <alignment vertical="center"/>
      <protection/>
    </xf>
    <xf numFmtId="0" fontId="6" fillId="33" borderId="11" xfId="0" applyFont="1" applyFill="1" applyBorder="1" applyAlignment="1" applyProtection="1">
      <alignment horizontal="left" vertical="center" indent="1"/>
      <protection/>
    </xf>
    <xf numFmtId="0" fontId="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Alignment="1">
      <alignment/>
    </xf>
    <xf numFmtId="0" fontId="12" fillId="0" borderId="0" xfId="0" applyFont="1" applyFill="1" applyAlignment="1" applyProtection="1">
      <alignment/>
      <protection/>
    </xf>
    <xf numFmtId="49" fontId="12" fillId="0" borderId="0" xfId="0" applyNumberFormat="1" applyFont="1" applyFill="1" applyAlignment="1" applyProtection="1">
      <alignment horizontal="center" vertical="center"/>
      <protection/>
    </xf>
    <xf numFmtId="0" fontId="6" fillId="35" borderId="11" xfId="0" applyNumberFormat="1"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locked="0"/>
    </xf>
    <xf numFmtId="0" fontId="13" fillId="0" borderId="0" xfId="0" applyFont="1" applyFill="1" applyAlignment="1" applyProtection="1">
      <alignment vertical="center"/>
      <protection/>
    </xf>
    <xf numFmtId="0" fontId="14" fillId="0" borderId="0" xfId="0" applyFont="1" applyFill="1" applyAlignment="1">
      <alignment horizontal="center"/>
    </xf>
    <xf numFmtId="2" fontId="14" fillId="0" borderId="20" xfId="0" applyNumberFormat="1" applyFont="1" applyFill="1" applyBorder="1" applyAlignment="1" applyProtection="1">
      <alignment horizontal="center" vertical="center"/>
      <protection/>
    </xf>
    <xf numFmtId="0" fontId="14" fillId="0" borderId="0" xfId="0" applyFont="1" applyAlignment="1">
      <alignment horizontal="center"/>
    </xf>
    <xf numFmtId="0" fontId="6" fillId="34" borderId="17" xfId="0" applyFont="1" applyFill="1" applyBorder="1" applyAlignment="1" applyProtection="1">
      <alignment vertical="center"/>
      <protection/>
    </xf>
    <xf numFmtId="0" fontId="6" fillId="34" borderId="11" xfId="0" applyFont="1" applyFill="1" applyBorder="1" applyAlignment="1" applyProtection="1">
      <alignment horizontal="left" vertical="center" indent="1"/>
      <protection/>
    </xf>
    <xf numFmtId="0" fontId="9" fillId="34" borderId="11"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indent="1"/>
      <protection/>
    </xf>
    <xf numFmtId="0" fontId="6" fillId="0" borderId="21" xfId="0" applyFont="1" applyFill="1" applyBorder="1" applyAlignment="1" applyProtection="1">
      <alignment vertical="center"/>
      <protection/>
    </xf>
    <xf numFmtId="0" fontId="3" fillId="34" borderId="10" xfId="0" applyFont="1" applyFill="1" applyBorder="1" applyAlignment="1" applyProtection="1">
      <alignment/>
      <protection hidden="1"/>
    </xf>
    <xf numFmtId="0" fontId="0" fillId="36" borderId="0" xfId="0" applyNumberForma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Alignment="1" applyProtection="1">
      <alignment horizontal="right" vertical="center"/>
      <protection/>
    </xf>
    <xf numFmtId="0" fontId="6" fillId="0" borderId="0" xfId="0" applyFont="1" applyFill="1" applyAlignment="1" applyProtection="1">
      <alignment horizontal="right" vertical="center"/>
      <protection/>
    </xf>
    <xf numFmtId="194" fontId="4" fillId="0" borderId="10" xfId="0" applyNumberFormat="1" applyFont="1" applyBorder="1" applyAlignment="1" applyProtection="1">
      <alignment horizontal="center"/>
      <protection/>
    </xf>
    <xf numFmtId="0" fontId="15" fillId="0" borderId="0" xfId="0" applyFont="1" applyFill="1" applyAlignment="1" applyProtection="1">
      <alignment vertical="center"/>
      <protection/>
    </xf>
    <xf numFmtId="0" fontId="15" fillId="0" borderId="0" xfId="0" applyFont="1" applyFill="1" applyAlignment="1" applyProtection="1">
      <alignment/>
      <protection/>
    </xf>
    <xf numFmtId="0" fontId="17" fillId="0" borderId="0" xfId="0" applyFont="1" applyFill="1" applyAlignment="1" applyProtection="1">
      <alignment horizontal="right" vertical="center"/>
      <protection/>
    </xf>
    <xf numFmtId="0" fontId="18" fillId="0" borderId="0" xfId="0" applyFont="1" applyFill="1" applyAlignment="1" applyProtection="1">
      <alignment horizontal="right" vertical="center"/>
      <protection/>
    </xf>
    <xf numFmtId="0" fontId="17" fillId="0" borderId="15" xfId="0" applyFont="1" applyFill="1" applyBorder="1" applyAlignment="1" applyProtection="1">
      <alignment vertical="center"/>
      <protection/>
    </xf>
    <xf numFmtId="0" fontId="21" fillId="0" borderId="0" xfId="0" applyFont="1" applyFill="1" applyAlignment="1" applyProtection="1">
      <alignment horizontal="right"/>
      <protection hidden="1"/>
    </xf>
    <xf numFmtId="0" fontId="22" fillId="34" borderId="11" xfId="0" applyFont="1" applyFill="1" applyBorder="1" applyAlignment="1" applyProtection="1">
      <alignment horizontal="center" vertical="center"/>
      <protection/>
    </xf>
    <xf numFmtId="49" fontId="22" fillId="34" borderId="11" xfId="0" applyNumberFormat="1" applyFont="1" applyFill="1" applyBorder="1" applyAlignment="1" applyProtection="1">
      <alignment horizontal="center" vertical="center"/>
      <protection/>
    </xf>
    <xf numFmtId="0" fontId="22" fillId="34" borderId="11" xfId="0" applyFont="1" applyFill="1" applyBorder="1" applyAlignment="1">
      <alignment horizontal="center" vertical="center"/>
    </xf>
    <xf numFmtId="0" fontId="21" fillId="0" borderId="22" xfId="0" applyFont="1" applyFill="1" applyBorder="1" applyAlignment="1" applyProtection="1">
      <alignment horizontal="center" vertical="center" wrapText="1"/>
      <protection hidden="1"/>
    </xf>
    <xf numFmtId="0" fontId="22" fillId="0" borderId="23" xfId="0" applyFont="1" applyFill="1" applyBorder="1" applyAlignment="1" applyProtection="1">
      <alignment vertical="center" wrapText="1"/>
      <protection hidden="1"/>
    </xf>
    <xf numFmtId="0" fontId="22" fillId="0" borderId="24" xfId="0" applyFont="1" applyFill="1" applyBorder="1" applyAlignment="1" applyProtection="1">
      <alignment horizontal="center" vertical="center"/>
      <protection hidden="1"/>
    </xf>
    <xf numFmtId="0" fontId="22" fillId="34" borderId="0" xfId="0" applyFont="1" applyFill="1" applyAlignment="1" applyProtection="1">
      <alignment vertical="center"/>
      <protection/>
    </xf>
    <xf numFmtId="0" fontId="22" fillId="0" borderId="14" xfId="0" applyFont="1" applyFill="1" applyBorder="1" applyAlignment="1" applyProtection="1">
      <alignment vertical="center" wrapText="1"/>
      <protection hidden="1"/>
    </xf>
    <xf numFmtId="0" fontId="22" fillId="37" borderId="13" xfId="0" applyFont="1" applyFill="1" applyBorder="1" applyAlignment="1" applyProtection="1">
      <alignment horizontal="left" vertical="center"/>
      <protection/>
    </xf>
    <xf numFmtId="0" fontId="24" fillId="0" borderId="14" xfId="0" applyFont="1" applyFill="1" applyBorder="1" applyAlignment="1" applyProtection="1">
      <alignment vertical="center" wrapText="1"/>
      <protection hidden="1"/>
    </xf>
    <xf numFmtId="0" fontId="22" fillId="0" borderId="11" xfId="0" applyFont="1" applyFill="1" applyBorder="1" applyAlignment="1" applyProtection="1">
      <alignment horizontal="center" vertical="center" wrapText="1"/>
      <protection hidden="1"/>
    </xf>
    <xf numFmtId="0" fontId="22" fillId="0" borderId="18" xfId="0" applyFont="1" applyFill="1" applyBorder="1" applyAlignment="1" applyProtection="1">
      <alignment vertical="center" wrapText="1"/>
      <protection hidden="1"/>
    </xf>
    <xf numFmtId="0" fontId="22" fillId="0" borderId="25" xfId="0" applyFont="1" applyFill="1" applyBorder="1" applyAlignment="1" applyProtection="1">
      <alignment horizontal="left" vertical="center" wrapText="1"/>
      <protection hidden="1"/>
    </xf>
    <xf numFmtId="0" fontId="22" fillId="0" borderId="14" xfId="0" applyFont="1" applyFill="1" applyBorder="1" applyAlignment="1" applyProtection="1">
      <alignment horizontal="left" vertical="center" wrapText="1"/>
      <protection hidden="1"/>
    </xf>
    <xf numFmtId="0" fontId="22" fillId="0" borderId="26" xfId="0" applyFont="1" applyFill="1" applyBorder="1" applyAlignment="1" applyProtection="1">
      <alignment horizontal="left" vertical="center" wrapText="1"/>
      <protection hidden="1"/>
    </xf>
    <xf numFmtId="0" fontId="22" fillId="34" borderId="27" xfId="0" applyFont="1" applyFill="1" applyBorder="1" applyAlignment="1" applyProtection="1">
      <alignment horizontal="center" vertical="center"/>
      <protection/>
    </xf>
    <xf numFmtId="49" fontId="22" fillId="34" borderId="27" xfId="0" applyNumberFormat="1" applyFont="1" applyFill="1" applyBorder="1" applyAlignment="1" applyProtection="1">
      <alignment horizontal="center" vertical="center"/>
      <protection/>
    </xf>
    <xf numFmtId="0" fontId="22" fillId="34" borderId="27" xfId="0" applyFont="1" applyFill="1" applyBorder="1" applyAlignment="1">
      <alignment horizontal="center" vertical="center"/>
    </xf>
    <xf numFmtId="0" fontId="22" fillId="0" borderId="18" xfId="0" applyFont="1" applyFill="1" applyBorder="1" applyAlignment="1" applyProtection="1">
      <alignment horizontal="left" vertical="center" wrapText="1"/>
      <protection hidden="1"/>
    </xf>
    <xf numFmtId="0" fontId="22" fillId="34" borderId="0" xfId="0" applyFont="1" applyFill="1" applyAlignment="1" applyProtection="1">
      <alignment horizontal="left" vertical="center"/>
      <protection/>
    </xf>
    <xf numFmtId="0" fontId="22" fillId="0" borderId="28" xfId="0" applyFont="1" applyFill="1" applyBorder="1" applyAlignment="1" applyProtection="1">
      <alignment horizontal="left" vertical="center" wrapText="1"/>
      <protection hidden="1"/>
    </xf>
    <xf numFmtId="0" fontId="22" fillId="0" borderId="16" xfId="0" applyFont="1" applyFill="1" applyBorder="1" applyAlignment="1" applyProtection="1">
      <alignment horizontal="left" vertical="center" wrapText="1"/>
      <protection hidden="1"/>
    </xf>
    <xf numFmtId="0" fontId="21" fillId="0" borderId="29" xfId="0" applyFont="1" applyFill="1" applyBorder="1" applyAlignment="1" applyProtection="1">
      <alignment vertical="center" wrapText="1"/>
      <protection hidden="1"/>
    </xf>
    <xf numFmtId="0" fontId="22" fillId="0" borderId="30" xfId="0" applyFont="1" applyFill="1" applyBorder="1" applyAlignment="1" applyProtection="1">
      <alignment horizontal="left" vertical="center" wrapText="1"/>
      <protection hidden="1"/>
    </xf>
    <xf numFmtId="0" fontId="27" fillId="0" borderId="0" xfId="0" applyFont="1" applyAlignment="1" applyProtection="1">
      <alignment vertical="top"/>
      <protection/>
    </xf>
    <xf numFmtId="0" fontId="26" fillId="34" borderId="0" xfId="0" applyFont="1" applyFill="1" applyAlignment="1" applyProtection="1">
      <alignment horizontal="center"/>
      <protection/>
    </xf>
    <xf numFmtId="0" fontId="26" fillId="0" borderId="0" xfId="0" applyFont="1" applyFill="1" applyAlignment="1" applyProtection="1">
      <alignment horizontal="right"/>
      <protection hidden="1"/>
    </xf>
    <xf numFmtId="0" fontId="27" fillId="0" borderId="0" xfId="0" applyFont="1" applyFill="1" applyAlignment="1" applyProtection="1">
      <alignment vertical="top"/>
      <protection hidden="1"/>
    </xf>
    <xf numFmtId="0" fontId="27" fillId="0" borderId="0" xfId="0" applyFont="1" applyFill="1" applyAlignment="1" applyProtection="1">
      <alignment horizontal="left" vertical="top"/>
      <protection hidden="1"/>
    </xf>
    <xf numFmtId="0" fontId="27" fillId="0" borderId="0" xfId="0" applyFont="1" applyFill="1" applyAlignment="1" applyProtection="1">
      <alignment horizontal="center" vertical="top" wrapText="1"/>
      <protection hidden="1"/>
    </xf>
    <xf numFmtId="0" fontId="27" fillId="0" borderId="0" xfId="0" applyFont="1" applyFill="1" applyAlignment="1" applyProtection="1">
      <alignment horizontal="center" vertical="center" wrapText="1"/>
      <protection hidden="1"/>
    </xf>
    <xf numFmtId="0" fontId="28" fillId="34" borderId="0" xfId="0" applyFont="1" applyFill="1" applyAlignment="1" applyProtection="1">
      <alignment/>
      <protection/>
    </xf>
    <xf numFmtId="0" fontId="29" fillId="34" borderId="0" xfId="0" applyFont="1" applyFill="1" applyAlignment="1" applyProtection="1">
      <alignment vertical="center"/>
      <protection/>
    </xf>
    <xf numFmtId="0" fontId="28" fillId="34" borderId="0" xfId="0" applyFont="1" applyFill="1" applyAlignment="1" applyProtection="1">
      <alignment vertical="center"/>
      <protection/>
    </xf>
    <xf numFmtId="49" fontId="28" fillId="34" borderId="0" xfId="0" applyNumberFormat="1" applyFont="1" applyFill="1" applyAlignment="1" applyProtection="1">
      <alignment horizontal="center" vertical="center"/>
      <protection/>
    </xf>
    <xf numFmtId="0" fontId="27" fillId="34" borderId="0" xfId="0" applyFont="1" applyFill="1" applyAlignment="1">
      <alignment/>
    </xf>
    <xf numFmtId="0" fontId="26" fillId="0" borderId="31" xfId="0" applyFont="1" applyFill="1" applyBorder="1" applyAlignment="1" applyProtection="1">
      <alignment horizontal="centerContinuous" vertical="center"/>
      <protection hidden="1"/>
    </xf>
    <xf numFmtId="0" fontId="26" fillId="0" borderId="31" xfId="0" applyFont="1" applyFill="1" applyBorder="1" applyAlignment="1" applyProtection="1">
      <alignment horizontal="left" vertical="center"/>
      <protection hidden="1"/>
    </xf>
    <xf numFmtId="0" fontId="27" fillId="0" borderId="31" xfId="0" applyFont="1" applyFill="1" applyBorder="1" applyAlignment="1" applyProtection="1">
      <alignment horizontal="center" vertical="center"/>
      <protection hidden="1"/>
    </xf>
    <xf numFmtId="0" fontId="27" fillId="0" borderId="0" xfId="0" applyFont="1" applyAlignment="1" applyProtection="1">
      <alignment/>
      <protection/>
    </xf>
    <xf numFmtId="0" fontId="27" fillId="34" borderId="0" xfId="0" applyFont="1" applyFill="1" applyAlignment="1" applyProtection="1">
      <alignment/>
      <protection/>
    </xf>
    <xf numFmtId="0" fontId="27" fillId="34" borderId="11" xfId="0" applyFont="1" applyFill="1" applyBorder="1" applyAlignment="1" applyProtection="1">
      <alignment horizontal="center" vertical="center"/>
      <protection/>
    </xf>
    <xf numFmtId="0" fontId="27" fillId="0" borderId="32" xfId="0" applyFont="1" applyFill="1" applyBorder="1" applyAlignment="1" applyProtection="1">
      <alignment horizontal="center" vertical="center"/>
      <protection hidden="1"/>
    </xf>
    <xf numFmtId="0" fontId="27" fillId="0" borderId="0" xfId="0" applyFont="1" applyAlignment="1" applyProtection="1">
      <alignment vertical="center"/>
      <protection/>
    </xf>
    <xf numFmtId="0" fontId="27" fillId="37" borderId="11"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7" fillId="34" borderId="11" xfId="0" applyNumberFormat="1" applyFont="1" applyFill="1" applyBorder="1" applyAlignment="1" applyProtection="1">
      <alignment horizontal="center" vertical="center"/>
      <protection/>
    </xf>
    <xf numFmtId="0" fontId="26" fillId="0" borderId="33" xfId="0" applyFont="1" applyFill="1" applyBorder="1" applyAlignment="1" applyProtection="1">
      <alignment horizontal="center" vertical="center" wrapText="1"/>
      <protection hidden="1"/>
    </xf>
    <xf numFmtId="0" fontId="27" fillId="35" borderId="14" xfId="0" applyFont="1" applyFill="1" applyBorder="1" applyAlignment="1" applyProtection="1">
      <alignment horizontal="center" vertical="center"/>
      <protection hidden="1" locked="0"/>
    </xf>
    <xf numFmtId="0" fontId="27" fillId="0" borderId="24" xfId="0" applyFont="1" applyFill="1" applyBorder="1" applyAlignment="1" applyProtection="1">
      <alignment horizontal="center" vertical="center"/>
      <protection hidden="1"/>
    </xf>
    <xf numFmtId="0" fontId="27" fillId="0" borderId="34" xfId="0" applyFont="1" applyFill="1" applyBorder="1" applyAlignment="1" applyProtection="1">
      <alignment vertical="center"/>
      <protection hidden="1"/>
    </xf>
    <xf numFmtId="0" fontId="27" fillId="34" borderId="11" xfId="0" applyFont="1" applyFill="1" applyBorder="1" applyAlignment="1" applyProtection="1">
      <alignment vertical="center"/>
      <protection/>
    </xf>
    <xf numFmtId="0" fontId="27" fillId="34" borderId="0" xfId="0" applyFont="1" applyFill="1" applyAlignment="1" applyProtection="1">
      <alignment vertical="center"/>
      <protection/>
    </xf>
    <xf numFmtId="0" fontId="27" fillId="37" borderId="14" xfId="0" applyFont="1" applyFill="1" applyBorder="1" applyAlignment="1" applyProtection="1">
      <alignment horizontal="right" vertical="center"/>
      <protection/>
    </xf>
    <xf numFmtId="49" fontId="27" fillId="34" borderId="0" xfId="0" applyNumberFormat="1" applyFont="1" applyFill="1" applyAlignment="1" applyProtection="1">
      <alignment horizontal="left" vertical="center" indent="1"/>
      <protection/>
    </xf>
    <xf numFmtId="0" fontId="27" fillId="0" borderId="34" xfId="0" applyFont="1" applyFill="1" applyBorder="1" applyAlignment="1" applyProtection="1">
      <alignment vertical="center"/>
      <protection hidden="1" locked="0"/>
    </xf>
    <xf numFmtId="0" fontId="27" fillId="0" borderId="34" xfId="0" applyFont="1" applyFill="1" applyBorder="1" applyAlignment="1" applyProtection="1">
      <alignment horizontal="left" vertical="center"/>
      <protection hidden="1"/>
    </xf>
    <xf numFmtId="0" fontId="27" fillId="37" borderId="11" xfId="0" applyNumberFormat="1" applyFont="1" applyFill="1" applyBorder="1" applyAlignment="1" applyProtection="1">
      <alignment horizontal="center" vertical="center"/>
      <protection/>
    </xf>
    <xf numFmtId="0" fontId="27" fillId="35" borderId="11" xfId="0" applyFont="1" applyFill="1" applyBorder="1" applyAlignment="1" applyProtection="1">
      <alignment horizontal="center" vertical="center"/>
      <protection hidden="1" locked="0"/>
    </xf>
    <xf numFmtId="0" fontId="27" fillId="34" borderId="0" xfId="0" applyFont="1" applyFill="1" applyAlignment="1" applyProtection="1">
      <alignment horizontal="centerContinuous" vertical="center"/>
      <protection/>
    </xf>
    <xf numFmtId="0" fontId="27" fillId="0" borderId="35" xfId="0" applyFont="1" applyFill="1" applyBorder="1" applyAlignment="1" applyProtection="1">
      <alignment horizontal="center" vertical="center"/>
      <protection hidden="1"/>
    </xf>
    <xf numFmtId="0" fontId="27" fillId="0" borderId="36" xfId="0" applyFont="1" applyBorder="1" applyAlignment="1" applyProtection="1">
      <alignment vertical="center"/>
      <protection/>
    </xf>
    <xf numFmtId="0" fontId="27" fillId="34" borderId="0" xfId="0" applyNumberFormat="1" applyFont="1" applyFill="1" applyAlignment="1" applyProtection="1">
      <alignment horizontal="center" vertical="center"/>
      <protection/>
    </xf>
    <xf numFmtId="2" fontId="29" fillId="34" borderId="20" xfId="0" applyNumberFormat="1" applyFont="1" applyFill="1" applyBorder="1" applyAlignment="1" applyProtection="1">
      <alignment horizontal="center" vertical="center"/>
      <protection/>
    </xf>
    <xf numFmtId="201" fontId="27" fillId="37" borderId="14" xfId="0" applyNumberFormat="1" applyFont="1" applyFill="1" applyBorder="1" applyAlignment="1" applyProtection="1">
      <alignment horizontal="right" vertical="center"/>
      <protection/>
    </xf>
    <xf numFmtId="0" fontId="27" fillId="0" borderId="33" xfId="0" applyFont="1" applyFill="1" applyBorder="1" applyAlignment="1" applyProtection="1">
      <alignment vertical="center"/>
      <protection hidden="1"/>
    </xf>
    <xf numFmtId="0" fontId="27" fillId="37" borderId="13" xfId="0" applyFont="1" applyFill="1" applyBorder="1" applyAlignment="1" applyProtection="1">
      <alignment horizontal="left" vertical="center"/>
      <protection/>
    </xf>
    <xf numFmtId="0" fontId="27" fillId="37" borderId="13" xfId="0" applyFont="1" applyFill="1" applyBorder="1" applyAlignment="1" applyProtection="1">
      <alignment vertical="center"/>
      <protection/>
    </xf>
    <xf numFmtId="0" fontId="27" fillId="0" borderId="37" xfId="0" applyFont="1" applyFill="1" applyBorder="1" applyAlignment="1" applyProtection="1">
      <alignment vertical="center"/>
      <protection hidden="1" locked="0"/>
    </xf>
    <xf numFmtId="0" fontId="27" fillId="0" borderId="38" xfId="0" applyFont="1" applyFill="1" applyBorder="1" applyAlignment="1" applyProtection="1">
      <alignment horizontal="center" vertical="center"/>
      <protection hidden="1"/>
    </xf>
    <xf numFmtId="2" fontId="27" fillId="37" borderId="14" xfId="0" applyNumberFormat="1" applyFont="1" applyFill="1" applyBorder="1" applyAlignment="1" applyProtection="1">
      <alignment horizontal="right" vertical="center"/>
      <protection/>
    </xf>
    <xf numFmtId="2" fontId="27" fillId="37" borderId="13" xfId="0" applyNumberFormat="1" applyFont="1" applyFill="1" applyBorder="1" applyAlignment="1" applyProtection="1">
      <alignment horizontal="center" vertical="center"/>
      <protection/>
    </xf>
    <xf numFmtId="196" fontId="27" fillId="37" borderId="14" xfId="0" applyNumberFormat="1" applyFont="1" applyFill="1" applyBorder="1" applyAlignment="1" applyProtection="1">
      <alignment horizontal="right" vertical="center"/>
      <protection/>
    </xf>
    <xf numFmtId="0" fontId="27" fillId="37" borderId="13" xfId="0" applyNumberFormat="1" applyFont="1" applyFill="1" applyBorder="1" applyAlignment="1" applyProtection="1">
      <alignment vertical="center"/>
      <protection/>
    </xf>
    <xf numFmtId="0" fontId="27" fillId="34" borderId="0" xfId="0" applyNumberFormat="1" applyFont="1" applyFill="1" applyAlignment="1" applyProtection="1">
      <alignment horizontal="left" vertical="center" indent="1"/>
      <protection/>
    </xf>
    <xf numFmtId="0" fontId="27" fillId="34" borderId="0" xfId="0" applyFont="1" applyFill="1" applyAlignment="1" applyProtection="1">
      <alignment horizontal="left" vertical="center"/>
      <protection/>
    </xf>
    <xf numFmtId="0" fontId="27" fillId="0" borderId="39" xfId="0" applyFont="1" applyFill="1" applyBorder="1" applyAlignment="1" applyProtection="1">
      <alignment horizontal="left" vertical="center" wrapText="1"/>
      <protection hidden="1"/>
    </xf>
    <xf numFmtId="0" fontId="27" fillId="0" borderId="40" xfId="0" applyFont="1" applyFill="1" applyBorder="1" applyAlignment="1" applyProtection="1">
      <alignment horizontal="center" vertical="center"/>
      <protection hidden="1"/>
    </xf>
    <xf numFmtId="0" fontId="27" fillId="0" borderId="41" xfId="0" applyFont="1" applyFill="1" applyBorder="1" applyAlignment="1" applyProtection="1">
      <alignment horizontal="center" vertical="center"/>
      <protection hidden="1"/>
    </xf>
    <xf numFmtId="0" fontId="27" fillId="0" borderId="42" xfId="0" applyFont="1" applyFill="1" applyBorder="1" applyAlignment="1" applyProtection="1">
      <alignment horizontal="center" vertical="center"/>
      <protection hidden="1"/>
    </xf>
    <xf numFmtId="0" fontId="27" fillId="34" borderId="0" xfId="0" applyFont="1" applyFill="1" applyBorder="1" applyAlignment="1" applyProtection="1">
      <alignment horizontal="center" vertical="center"/>
      <protection/>
    </xf>
    <xf numFmtId="0" fontId="27" fillId="0" borderId="43" xfId="0" applyFont="1" applyFill="1" applyBorder="1" applyAlignment="1" applyProtection="1">
      <alignment horizontal="center" vertical="center"/>
      <protection hidden="1"/>
    </xf>
    <xf numFmtId="0" fontId="27" fillId="0" borderId="0" xfId="0" applyFont="1" applyAlignment="1" applyProtection="1">
      <alignment horizontal="center" vertical="center"/>
      <protection/>
    </xf>
    <xf numFmtId="0" fontId="27" fillId="0" borderId="0" xfId="0" applyFont="1" applyBorder="1" applyAlignment="1" applyProtection="1">
      <alignment vertical="center"/>
      <protection/>
    </xf>
    <xf numFmtId="0" fontId="27" fillId="0" borderId="0" xfId="0" applyFont="1" applyBorder="1" applyAlignment="1" applyProtection="1">
      <alignment horizontal="center" vertical="center"/>
      <protection/>
    </xf>
    <xf numFmtId="0" fontId="26" fillId="0" borderId="0" xfId="0" applyFont="1" applyFill="1" applyBorder="1" applyAlignment="1" applyProtection="1">
      <alignment vertical="center"/>
      <protection hidden="1"/>
    </xf>
    <xf numFmtId="0" fontId="26" fillId="0" borderId="0" xfId="0" applyFont="1" applyFill="1" applyBorder="1" applyAlignment="1" applyProtection="1">
      <alignment horizontal="left" vertical="center"/>
      <protection hidden="1"/>
    </xf>
    <xf numFmtId="0" fontId="27"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vertical="top"/>
      <protection hidden="1"/>
    </xf>
    <xf numFmtId="0" fontId="27" fillId="0" borderId="0" xfId="0" applyFont="1" applyFill="1" applyBorder="1" applyAlignment="1" applyProtection="1">
      <alignment horizontal="left" vertical="top"/>
      <protection hidden="1"/>
    </xf>
    <xf numFmtId="0" fontId="27" fillId="0" borderId="0" xfId="0" applyFont="1" applyFill="1" applyBorder="1" applyAlignment="1" applyProtection="1">
      <alignment horizontal="center"/>
      <protection hidden="1"/>
    </xf>
    <xf numFmtId="0" fontId="27" fillId="0" borderId="0" xfId="0" applyFont="1" applyFill="1" applyBorder="1" applyAlignment="1" applyProtection="1">
      <alignment/>
      <protection hidden="1"/>
    </xf>
    <xf numFmtId="0" fontId="27" fillId="0" borderId="0" xfId="0" applyFont="1" applyFill="1" applyBorder="1" applyAlignment="1" applyProtection="1">
      <alignment horizontal="left"/>
      <protection hidden="1"/>
    </xf>
    <xf numFmtId="0" fontId="27" fillId="0" borderId="0" xfId="0" applyFont="1" applyFill="1" applyAlignment="1" applyProtection="1">
      <alignment horizontal="center"/>
      <protection hidden="1"/>
    </xf>
    <xf numFmtId="0" fontId="27" fillId="0" borderId="0" xfId="0" applyFont="1" applyFill="1" applyAlignment="1" applyProtection="1">
      <alignment horizontal="center" vertical="center"/>
      <protection hidden="1"/>
    </xf>
    <xf numFmtId="0" fontId="27" fillId="0" borderId="0" xfId="0" applyFont="1" applyFill="1" applyAlignment="1" applyProtection="1">
      <alignment/>
      <protection/>
    </xf>
    <xf numFmtId="0" fontId="27" fillId="0" borderId="0" xfId="0" applyFont="1" applyFill="1" applyAlignment="1" applyProtection="1">
      <alignment horizontal="left"/>
      <protection/>
    </xf>
    <xf numFmtId="0" fontId="27" fillId="0" borderId="0" xfId="0" applyFont="1" applyAlignment="1" applyProtection="1">
      <alignment horizontal="center"/>
      <protection/>
    </xf>
    <xf numFmtId="0" fontId="26" fillId="0" borderId="0" xfId="0" applyFont="1" applyFill="1" applyAlignment="1" applyProtection="1">
      <alignment/>
      <protection/>
    </xf>
    <xf numFmtId="0" fontId="26" fillId="0" borderId="0" xfId="0" applyFont="1" applyFill="1" applyAlignment="1" applyProtection="1">
      <alignment horizontal="left"/>
      <protection/>
    </xf>
    <xf numFmtId="0" fontId="33" fillId="34" borderId="11" xfId="0" applyFont="1" applyFill="1" applyBorder="1" applyAlignment="1" applyProtection="1">
      <alignment horizontal="center" vertical="center"/>
      <protection/>
    </xf>
    <xf numFmtId="0" fontId="33" fillId="34" borderId="11" xfId="0" applyFont="1" applyFill="1" applyBorder="1" applyAlignment="1" applyProtection="1">
      <alignment horizontal="center" vertical="justify"/>
      <protection/>
    </xf>
    <xf numFmtId="0" fontId="22" fillId="0" borderId="33" xfId="0" applyFont="1" applyFill="1" applyBorder="1" applyAlignment="1" applyProtection="1">
      <alignment vertical="center"/>
      <protection hidden="1" locked="0"/>
    </xf>
    <xf numFmtId="0" fontId="27" fillId="35" borderId="33" xfId="0" applyFont="1" applyFill="1" applyBorder="1" applyAlignment="1" applyProtection="1">
      <alignment vertical="center"/>
      <protection hidden="1"/>
    </xf>
    <xf numFmtId="0" fontId="22" fillId="0" borderId="33" xfId="0" applyFont="1" applyFill="1" applyBorder="1" applyAlignment="1" applyProtection="1">
      <alignment vertical="center"/>
      <protection hidden="1"/>
    </xf>
    <xf numFmtId="0" fontId="27" fillId="35" borderId="33" xfId="0" applyFont="1" applyFill="1" applyBorder="1" applyAlignment="1" applyProtection="1">
      <alignment horizontal="left" vertical="justify"/>
      <protection hidden="1"/>
    </xf>
    <xf numFmtId="0" fontId="22" fillId="34" borderId="33" xfId="0" applyFont="1" applyFill="1" applyBorder="1" applyAlignment="1" applyProtection="1">
      <alignment vertical="center"/>
      <protection hidden="1"/>
    </xf>
    <xf numFmtId="0" fontId="22" fillId="0" borderId="44" xfId="0" applyFont="1" applyFill="1" applyBorder="1" applyAlignment="1" applyProtection="1">
      <alignment vertical="top" wrapText="1"/>
      <protection hidden="1"/>
    </xf>
    <xf numFmtId="195" fontId="27" fillId="37" borderId="11" xfId="0" applyNumberFormat="1" applyFont="1" applyFill="1" applyBorder="1" applyAlignment="1" applyProtection="1">
      <alignment horizontal="center" vertical="center"/>
      <protection/>
    </xf>
    <xf numFmtId="0" fontId="27" fillId="37" borderId="45" xfId="0" applyFont="1" applyFill="1" applyBorder="1" applyAlignment="1" applyProtection="1">
      <alignment horizontal="center" vertical="center"/>
      <protection/>
    </xf>
    <xf numFmtId="0" fontId="27" fillId="34" borderId="45" xfId="0" applyNumberFormat="1" applyFont="1" applyFill="1" applyBorder="1" applyAlignment="1" applyProtection="1">
      <alignment horizontal="center" vertical="center"/>
      <protection/>
    </xf>
    <xf numFmtId="0" fontId="27" fillId="0" borderId="14" xfId="0" applyFont="1" applyFill="1" applyBorder="1" applyAlignment="1" applyProtection="1">
      <alignment horizontal="center" vertical="center"/>
      <protection hidden="1" locked="0"/>
    </xf>
    <xf numFmtId="195" fontId="27" fillId="37" borderId="46" xfId="0" applyNumberFormat="1" applyFont="1" applyFill="1" applyBorder="1" applyAlignment="1" applyProtection="1">
      <alignment horizontal="center" vertical="center"/>
      <protection/>
    </xf>
    <xf numFmtId="195" fontId="27" fillId="37" borderId="47" xfId="0" applyNumberFormat="1" applyFont="1" applyFill="1" applyBorder="1" applyAlignment="1" applyProtection="1">
      <alignment horizontal="center" vertical="center"/>
      <protection/>
    </xf>
    <xf numFmtId="0" fontId="27" fillId="34" borderId="14" xfId="0" applyFont="1" applyFill="1" applyBorder="1" applyAlignment="1" applyProtection="1">
      <alignment horizontal="center" vertical="center"/>
      <protection/>
    </xf>
    <xf numFmtId="0" fontId="27" fillId="34" borderId="13" xfId="0" applyFont="1" applyFill="1" applyBorder="1" applyAlignment="1" applyProtection="1">
      <alignment horizontal="center" vertical="center"/>
      <protection/>
    </xf>
    <xf numFmtId="0" fontId="27" fillId="37" borderId="14" xfId="0" applyNumberFormat="1" applyFont="1" applyFill="1" applyBorder="1" applyAlignment="1" applyProtection="1">
      <alignment horizontal="center" vertical="center"/>
      <protection/>
    </xf>
    <xf numFmtId="0" fontId="27" fillId="37" borderId="13" xfId="0" applyNumberFormat="1" applyFont="1" applyFill="1" applyBorder="1" applyAlignment="1" applyProtection="1">
      <alignment horizontal="center" vertical="center"/>
      <protection/>
    </xf>
    <xf numFmtId="0" fontId="27" fillId="37" borderId="14" xfId="0" applyFont="1" applyFill="1" applyBorder="1" applyAlignment="1" applyProtection="1">
      <alignment horizontal="center" vertical="center"/>
      <protection/>
    </xf>
    <xf numFmtId="0" fontId="27" fillId="37" borderId="13" xfId="0" applyFont="1" applyFill="1" applyBorder="1" applyAlignment="1" applyProtection="1">
      <alignment horizontal="center" vertical="center"/>
      <protection/>
    </xf>
    <xf numFmtId="0" fontId="22" fillId="34" borderId="0" xfId="0" applyFont="1" applyFill="1" applyAlignment="1">
      <alignment horizontal="left"/>
    </xf>
    <xf numFmtId="0" fontId="27" fillId="34" borderId="0" xfId="0" applyFont="1" applyFill="1" applyAlignment="1">
      <alignment horizontal="left"/>
    </xf>
    <xf numFmtId="0" fontId="27" fillId="38" borderId="14" xfId="0" applyFont="1" applyFill="1" applyBorder="1" applyAlignment="1" applyProtection="1">
      <alignment horizontal="center" vertical="center"/>
      <protection/>
    </xf>
    <xf numFmtId="0" fontId="27" fillId="38" borderId="13" xfId="0" applyFont="1" applyFill="1" applyBorder="1" applyAlignment="1" applyProtection="1">
      <alignment horizontal="center" vertical="center"/>
      <protection/>
    </xf>
    <xf numFmtId="0" fontId="33" fillId="34" borderId="14" xfId="0" applyFont="1" applyFill="1" applyBorder="1" applyAlignment="1" applyProtection="1">
      <alignment horizontal="center" vertical="center"/>
      <protection/>
    </xf>
    <xf numFmtId="2" fontId="27" fillId="38" borderId="46" xfId="0" applyNumberFormat="1" applyFont="1" applyFill="1" applyBorder="1" applyAlignment="1" applyProtection="1">
      <alignment horizontal="center" vertical="center"/>
      <protection/>
    </xf>
    <xf numFmtId="2" fontId="27" fillId="38" borderId="48" xfId="0" applyNumberFormat="1" applyFont="1" applyFill="1" applyBorder="1" applyAlignment="1" applyProtection="1">
      <alignment horizontal="center" vertical="center"/>
      <protection/>
    </xf>
    <xf numFmtId="2" fontId="27" fillId="38" borderId="47" xfId="0" applyNumberFormat="1" applyFont="1" applyFill="1" applyBorder="1" applyAlignment="1" applyProtection="1">
      <alignment horizontal="center" vertical="center"/>
      <protection/>
    </xf>
    <xf numFmtId="0" fontId="27" fillId="37" borderId="46" xfId="0" applyFont="1" applyFill="1" applyBorder="1" applyAlignment="1" applyProtection="1">
      <alignment horizontal="center" vertical="center"/>
      <protection/>
    </xf>
    <xf numFmtId="0" fontId="27" fillId="37" borderId="47" xfId="0" applyFont="1" applyFill="1" applyBorder="1" applyAlignment="1" applyProtection="1">
      <alignment horizontal="center" vertical="center"/>
      <protection/>
    </xf>
    <xf numFmtId="0" fontId="27" fillId="34" borderId="17" xfId="0" applyFont="1" applyFill="1" applyBorder="1" applyAlignment="1" applyProtection="1">
      <alignment horizontal="center" vertical="center"/>
      <protection/>
    </xf>
    <xf numFmtId="0" fontId="22" fillId="34" borderId="14" xfId="0" applyFont="1" applyFill="1" applyBorder="1" applyAlignment="1" applyProtection="1">
      <alignment horizontal="center" vertical="center"/>
      <protection/>
    </xf>
    <xf numFmtId="0" fontId="21" fillId="34" borderId="0" xfId="0" applyFont="1" applyFill="1" applyAlignment="1" applyProtection="1">
      <alignment horizontal="center"/>
      <protection/>
    </xf>
    <xf numFmtId="0" fontId="26" fillId="34" borderId="0" xfId="0" applyFont="1" applyFill="1" applyAlignment="1" applyProtection="1">
      <alignment horizontal="center"/>
      <protection/>
    </xf>
    <xf numFmtId="1" fontId="27" fillId="37" borderId="46" xfId="0" applyNumberFormat="1" applyFont="1" applyFill="1" applyBorder="1" applyAlignment="1" applyProtection="1">
      <alignment horizontal="center" vertical="center"/>
      <protection/>
    </xf>
    <xf numFmtId="1" fontId="27" fillId="37" borderId="47" xfId="0" applyNumberFormat="1" applyFont="1" applyFill="1" applyBorder="1" applyAlignment="1" applyProtection="1">
      <alignment horizontal="center" vertical="center"/>
      <protection/>
    </xf>
    <xf numFmtId="0" fontId="22" fillId="34" borderId="0" xfId="0" applyFont="1" applyFill="1" applyAlignment="1" applyProtection="1">
      <alignment horizontal="right"/>
      <protection/>
    </xf>
    <xf numFmtId="0" fontId="27" fillId="34" borderId="0" xfId="0" applyFont="1" applyFill="1" applyAlignment="1" applyProtection="1">
      <alignment horizontal="right"/>
      <protection/>
    </xf>
    <xf numFmtId="0" fontId="27" fillId="34" borderId="21" xfId="0" applyFont="1" applyFill="1" applyBorder="1" applyAlignment="1" applyProtection="1">
      <alignment horizontal="right"/>
      <protection/>
    </xf>
    <xf numFmtId="191" fontId="27" fillId="38" borderId="14" xfId="0" applyNumberFormat="1" applyFont="1" applyFill="1" applyBorder="1" applyAlignment="1" applyProtection="1">
      <alignment horizontal="center" vertical="center"/>
      <protection/>
    </xf>
    <xf numFmtId="191" fontId="27" fillId="38" borderId="13" xfId="0" applyNumberFormat="1" applyFont="1" applyFill="1" applyBorder="1" applyAlignment="1" applyProtection="1">
      <alignment horizontal="center" vertical="center"/>
      <protection/>
    </xf>
    <xf numFmtId="0" fontId="27" fillId="37" borderId="14" xfId="0" applyFont="1" applyFill="1" applyBorder="1" applyAlignment="1" applyProtection="1">
      <alignment horizontal="right" vertical="center"/>
      <protection/>
    </xf>
    <xf numFmtId="0" fontId="27" fillId="37" borderId="17" xfId="0" applyFont="1" applyFill="1" applyBorder="1" applyAlignment="1" applyProtection="1">
      <alignment horizontal="right" vertical="center"/>
      <protection/>
    </xf>
    <xf numFmtId="0" fontId="26" fillId="35" borderId="17" xfId="0" applyFont="1" applyFill="1" applyBorder="1" applyAlignment="1" applyProtection="1">
      <alignment horizontal="center" vertical="top"/>
      <protection hidden="1"/>
    </xf>
    <xf numFmtId="0" fontId="27" fillId="0" borderId="25" xfId="0" applyFont="1" applyFill="1" applyBorder="1" applyAlignment="1" applyProtection="1">
      <alignment horizontal="center" vertical="center"/>
      <protection hidden="1"/>
    </xf>
    <xf numFmtId="0" fontId="27" fillId="0" borderId="49" xfId="0" applyFont="1" applyFill="1" applyBorder="1" applyAlignment="1" applyProtection="1">
      <alignment horizontal="center" vertical="center"/>
      <protection hidden="1"/>
    </xf>
    <xf numFmtId="49" fontId="22" fillId="35" borderId="25" xfId="0" applyNumberFormat="1" applyFont="1" applyFill="1" applyBorder="1" applyAlignment="1" applyProtection="1">
      <alignment horizontal="center" vertical="center"/>
      <protection hidden="1" locked="0"/>
    </xf>
    <xf numFmtId="49" fontId="27" fillId="35" borderId="49" xfId="0" applyNumberFormat="1" applyFont="1" applyFill="1" applyBorder="1" applyAlignment="1" applyProtection="1">
      <alignment horizontal="center" vertical="center"/>
      <protection hidden="1" locked="0"/>
    </xf>
    <xf numFmtId="0" fontId="27" fillId="0" borderId="14" xfId="0" applyFont="1" applyFill="1" applyBorder="1" applyAlignment="1" applyProtection="1">
      <alignment horizontal="center" vertical="center"/>
      <protection hidden="1"/>
    </xf>
    <xf numFmtId="0" fontId="27" fillId="0" borderId="13"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7" fillId="35" borderId="30" xfId="0" applyFont="1" applyFill="1" applyBorder="1" applyAlignment="1" applyProtection="1">
      <alignment horizontal="center" vertical="center"/>
      <protection hidden="1" locked="0"/>
    </xf>
    <xf numFmtId="0" fontId="27" fillId="35" borderId="50" xfId="0" applyFont="1" applyFill="1" applyBorder="1" applyAlignment="1" applyProtection="1">
      <alignment horizontal="center" vertical="center"/>
      <protection hidden="1" locked="0"/>
    </xf>
    <xf numFmtId="0" fontId="27" fillId="0" borderId="30" xfId="0" applyFont="1" applyFill="1" applyBorder="1" applyAlignment="1" applyProtection="1">
      <alignment horizontal="center" vertical="center"/>
      <protection hidden="1"/>
    </xf>
    <xf numFmtId="0" fontId="27" fillId="0" borderId="50" xfId="0" applyFont="1" applyFill="1" applyBorder="1" applyAlignment="1" applyProtection="1">
      <alignment horizontal="center" vertical="center"/>
      <protection hidden="1"/>
    </xf>
    <xf numFmtId="0" fontId="27" fillId="35" borderId="26" xfId="0" applyFont="1" applyFill="1" applyBorder="1" applyAlignment="1" applyProtection="1">
      <alignment horizontal="center" vertical="center"/>
      <protection hidden="1" locked="0"/>
    </xf>
    <xf numFmtId="0" fontId="27" fillId="35" borderId="51" xfId="0" applyFont="1" applyFill="1" applyBorder="1" applyAlignment="1" applyProtection="1">
      <alignment horizontal="center" vertical="center"/>
      <protection hidden="1" locked="0"/>
    </xf>
    <xf numFmtId="0" fontId="27" fillId="0" borderId="26" xfId="0" applyFont="1" applyFill="1" applyBorder="1" applyAlignment="1" applyProtection="1">
      <alignment horizontal="center" vertical="center"/>
      <protection hidden="1"/>
    </xf>
    <xf numFmtId="0" fontId="27" fillId="0" borderId="51" xfId="0" applyFont="1" applyFill="1" applyBorder="1" applyAlignment="1" applyProtection="1">
      <alignment horizontal="center" vertical="center"/>
      <protection hidden="1"/>
    </xf>
    <xf numFmtId="0" fontId="26" fillId="35" borderId="12" xfId="0" applyFont="1" applyFill="1" applyBorder="1" applyAlignment="1" applyProtection="1">
      <alignment horizontal="center" vertical="top"/>
      <protection hidden="1"/>
    </xf>
    <xf numFmtId="0" fontId="27" fillId="0" borderId="14" xfId="0" applyFont="1" applyFill="1" applyBorder="1" applyAlignment="1" applyProtection="1">
      <alignment horizontal="center" vertical="center" wrapText="1"/>
      <protection hidden="1" locked="0"/>
    </xf>
    <xf numFmtId="0" fontId="27" fillId="0" borderId="13" xfId="0" applyFont="1" applyFill="1" applyBorder="1" applyAlignment="1" applyProtection="1">
      <alignment horizontal="center" vertical="center" wrapText="1"/>
      <protection hidden="1" locked="0"/>
    </xf>
    <xf numFmtId="0" fontId="27" fillId="35" borderId="14" xfId="0" applyFont="1" applyFill="1" applyBorder="1" applyAlignment="1" applyProtection="1">
      <alignment horizontal="center" vertical="center"/>
      <protection hidden="1" locked="0"/>
    </xf>
    <xf numFmtId="0" fontId="27" fillId="35" borderId="13" xfId="0" applyFont="1" applyFill="1" applyBorder="1" applyAlignment="1" applyProtection="1">
      <alignment horizontal="center" vertical="center"/>
      <protection hidden="1" locked="0"/>
    </xf>
    <xf numFmtId="0" fontId="26" fillId="0" borderId="17" xfId="0" applyFont="1" applyFill="1" applyBorder="1" applyAlignment="1" applyProtection="1">
      <alignment horizontal="center" vertical="top"/>
      <protection hidden="1"/>
    </xf>
    <xf numFmtId="0" fontId="27" fillId="0" borderId="52" xfId="0" applyFont="1" applyFill="1" applyBorder="1" applyAlignment="1" applyProtection="1">
      <alignment horizontal="center" vertical="center"/>
      <protection hidden="1"/>
    </xf>
    <xf numFmtId="0" fontId="27" fillId="0" borderId="53" xfId="0" applyFont="1" applyFill="1" applyBorder="1" applyAlignment="1" applyProtection="1">
      <alignment horizontal="center" vertical="center"/>
      <protection hidden="1"/>
    </xf>
    <xf numFmtId="0" fontId="27" fillId="0" borderId="28" xfId="0" applyFont="1" applyFill="1" applyBorder="1" applyAlignment="1" applyProtection="1">
      <alignment horizontal="center" vertical="center"/>
      <protection hidden="1"/>
    </xf>
    <xf numFmtId="0" fontId="27" fillId="0" borderId="54" xfId="0" applyFont="1" applyFill="1" applyBorder="1" applyAlignment="1" applyProtection="1">
      <alignment horizontal="center" vertical="center"/>
      <protection hidden="1"/>
    </xf>
    <xf numFmtId="0" fontId="27" fillId="0" borderId="39" xfId="0" applyFont="1" applyFill="1" applyBorder="1" applyAlignment="1" applyProtection="1">
      <alignment horizontal="center" vertical="center"/>
      <protection hidden="1"/>
    </xf>
    <xf numFmtId="0" fontId="27" fillId="0" borderId="55" xfId="0" applyFont="1" applyFill="1" applyBorder="1" applyAlignment="1" applyProtection="1">
      <alignment horizontal="center" vertical="center"/>
      <protection hidden="1"/>
    </xf>
    <xf numFmtId="0" fontId="27" fillId="0" borderId="28" xfId="0" applyFont="1" applyFill="1" applyBorder="1" applyAlignment="1" applyProtection="1">
      <alignment horizontal="center" vertical="center"/>
      <protection hidden="1" locked="0"/>
    </xf>
    <xf numFmtId="0" fontId="27" fillId="0" borderId="54" xfId="0" applyFont="1" applyFill="1" applyBorder="1" applyAlignment="1" applyProtection="1">
      <alignment horizontal="center" vertical="center"/>
      <protection hidden="1" locked="0"/>
    </xf>
    <xf numFmtId="0" fontId="27" fillId="0" borderId="39" xfId="0" applyFont="1" applyFill="1" applyBorder="1" applyAlignment="1" applyProtection="1">
      <alignment horizontal="center" vertical="center"/>
      <protection hidden="1" locked="0"/>
    </xf>
    <xf numFmtId="0" fontId="27" fillId="0" borderId="55" xfId="0" applyFont="1" applyFill="1" applyBorder="1" applyAlignment="1" applyProtection="1">
      <alignment horizontal="center" vertical="center"/>
      <protection hidden="1" locked="0"/>
    </xf>
    <xf numFmtId="0" fontId="27" fillId="0" borderId="14" xfId="0" applyFont="1" applyFill="1" applyBorder="1" applyAlignment="1" applyProtection="1">
      <alignment horizontal="center" vertical="center"/>
      <protection hidden="1" locked="0"/>
    </xf>
    <xf numFmtId="0" fontId="27" fillId="0" borderId="13" xfId="0" applyFont="1" applyFill="1" applyBorder="1" applyAlignment="1" applyProtection="1">
      <alignment horizontal="center" vertical="center"/>
      <protection hidden="1" locked="0"/>
    </xf>
    <xf numFmtId="0" fontId="27" fillId="0" borderId="56" xfId="0" applyFont="1" applyFill="1" applyBorder="1" applyAlignment="1" applyProtection="1">
      <alignment horizontal="center" vertical="center"/>
      <protection hidden="1"/>
    </xf>
    <xf numFmtId="0" fontId="27" fillId="0" borderId="57" xfId="0" applyFont="1" applyFill="1" applyBorder="1" applyAlignment="1" applyProtection="1">
      <alignment horizontal="center" vertical="center"/>
      <protection hidden="1"/>
    </xf>
    <xf numFmtId="0" fontId="27" fillId="0" borderId="26" xfId="0" applyFont="1" applyFill="1" applyBorder="1" applyAlignment="1" applyProtection="1">
      <alignment horizontal="center" vertical="center"/>
      <protection hidden="1" locked="0"/>
    </xf>
    <xf numFmtId="0" fontId="27" fillId="0" borderId="51" xfId="0" applyFont="1" applyFill="1" applyBorder="1" applyAlignment="1" applyProtection="1">
      <alignment horizontal="center" vertical="center"/>
      <protection hidden="1" locked="0"/>
    </xf>
    <xf numFmtId="1" fontId="27" fillId="35" borderId="14" xfId="0" applyNumberFormat="1" applyFont="1" applyFill="1" applyBorder="1" applyAlignment="1" applyProtection="1">
      <alignment horizontal="center" vertical="center"/>
      <protection hidden="1" locked="0"/>
    </xf>
    <xf numFmtId="1" fontId="27" fillId="35" borderId="13" xfId="0" applyNumberFormat="1" applyFont="1" applyFill="1" applyBorder="1" applyAlignment="1" applyProtection="1">
      <alignment horizontal="center" vertical="center"/>
      <protection hidden="1" locked="0"/>
    </xf>
    <xf numFmtId="0" fontId="27" fillId="0" borderId="14" xfId="0" applyFont="1" applyFill="1" applyBorder="1" applyAlignment="1" applyProtection="1">
      <alignment horizontal="center" vertical="center" wrapText="1"/>
      <protection hidden="1"/>
    </xf>
    <xf numFmtId="0" fontId="27" fillId="0" borderId="13" xfId="0" applyFont="1" applyFill="1" applyBorder="1" applyAlignment="1" applyProtection="1">
      <alignment horizontal="center" vertical="center" wrapText="1"/>
      <protection hidden="1"/>
    </xf>
    <xf numFmtId="0" fontId="27" fillId="0" borderId="18" xfId="0" applyFont="1" applyFill="1" applyBorder="1" applyAlignment="1" applyProtection="1">
      <alignment horizontal="center" vertical="center"/>
      <protection hidden="1"/>
    </xf>
    <xf numFmtId="0" fontId="27" fillId="0" borderId="58" xfId="0" applyFont="1" applyFill="1" applyBorder="1" applyAlignment="1" applyProtection="1">
      <alignment horizontal="center" vertical="center"/>
      <protection hidden="1"/>
    </xf>
    <xf numFmtId="0" fontId="27" fillId="0" borderId="18" xfId="0" applyFont="1" applyFill="1" applyBorder="1" applyAlignment="1" applyProtection="1">
      <alignment horizontal="center" vertical="center"/>
      <protection hidden="1" locked="0"/>
    </xf>
    <xf numFmtId="0" fontId="27" fillId="0" borderId="58" xfId="0" applyFont="1" applyFill="1" applyBorder="1" applyAlignment="1" applyProtection="1">
      <alignment horizontal="center" vertical="center"/>
      <protection hidden="1" locked="0"/>
    </xf>
    <xf numFmtId="0" fontId="27" fillId="35" borderId="39" xfId="0" applyFont="1" applyFill="1" applyBorder="1" applyAlignment="1" applyProtection="1">
      <alignment horizontal="center" vertical="center"/>
      <protection hidden="1" locked="0"/>
    </xf>
    <xf numFmtId="0" fontId="27" fillId="35" borderId="55" xfId="0" applyFont="1" applyFill="1" applyBorder="1" applyAlignment="1" applyProtection="1">
      <alignment horizontal="center" vertical="center"/>
      <protection hidden="1" locked="0"/>
    </xf>
    <xf numFmtId="195" fontId="27" fillId="35" borderId="14" xfId="0" applyNumberFormat="1" applyFont="1" applyFill="1" applyBorder="1" applyAlignment="1" applyProtection="1">
      <alignment horizontal="center" vertical="center"/>
      <protection hidden="1" locked="0"/>
    </xf>
    <xf numFmtId="195" fontId="27" fillId="35" borderId="13" xfId="0" applyNumberFormat="1" applyFont="1" applyFill="1" applyBorder="1" applyAlignment="1" applyProtection="1">
      <alignment horizontal="center" vertical="center"/>
      <protection hidden="1" locked="0"/>
    </xf>
    <xf numFmtId="0" fontId="27" fillId="35" borderId="28" xfId="0" applyFont="1" applyFill="1" applyBorder="1" applyAlignment="1" applyProtection="1">
      <alignment horizontal="center" vertical="center"/>
      <protection hidden="1" locked="0"/>
    </xf>
    <xf numFmtId="0" fontId="27" fillId="35" borderId="54" xfId="0" applyFont="1" applyFill="1" applyBorder="1" applyAlignment="1" applyProtection="1">
      <alignment horizontal="center" vertical="center"/>
      <protection hidden="1" locked="0"/>
    </xf>
    <xf numFmtId="49" fontId="27" fillId="35" borderId="25" xfId="0" applyNumberFormat="1" applyFont="1" applyFill="1" applyBorder="1" applyAlignment="1" applyProtection="1">
      <alignment horizontal="center" vertical="center"/>
      <protection hidden="1" locked="0"/>
    </xf>
    <xf numFmtId="0" fontId="22" fillId="37" borderId="46" xfId="0" applyFont="1" applyFill="1" applyBorder="1" applyAlignment="1" applyProtection="1">
      <alignment horizontal="center" vertical="center"/>
      <protection/>
    </xf>
    <xf numFmtId="0" fontId="22" fillId="37" borderId="48" xfId="0" applyFont="1" applyFill="1" applyBorder="1" applyAlignment="1" applyProtection="1">
      <alignment horizontal="center" vertical="center"/>
      <protection/>
    </xf>
    <xf numFmtId="0" fontId="22" fillId="37" borderId="47" xfId="0" applyFont="1" applyFill="1" applyBorder="1" applyAlignment="1" applyProtection="1">
      <alignment horizontal="center" vertical="center"/>
      <protection/>
    </xf>
    <xf numFmtId="0" fontId="6" fillId="35" borderId="14" xfId="0" applyFon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6" fillId="0" borderId="0" xfId="0" applyFont="1" applyFill="1" applyAlignment="1" applyProtection="1">
      <alignment horizontal="right"/>
      <protection/>
    </xf>
    <xf numFmtId="0" fontId="6" fillId="0" borderId="0" xfId="0" applyFont="1" applyAlignment="1" applyProtection="1">
      <alignment horizontal="right"/>
      <protection/>
    </xf>
    <xf numFmtId="0" fontId="11" fillId="0" borderId="14" xfId="0" applyFont="1" applyBorder="1" applyAlignment="1" applyProtection="1">
      <alignment horizontal="center" vertical="center"/>
      <protection/>
    </xf>
    <xf numFmtId="0" fontId="0" fillId="0" borderId="13" xfId="0" applyBorder="1" applyAlignment="1" applyProtection="1">
      <alignment/>
      <protection/>
    </xf>
    <xf numFmtId="2" fontId="6" fillId="35" borderId="14" xfId="0" applyNumberFormat="1"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7" fillId="0" borderId="14" xfId="0" applyFont="1" applyBorder="1" applyAlignment="1" applyProtection="1">
      <alignment horizontal="center" vertical="center"/>
      <protection/>
    </xf>
    <xf numFmtId="191" fontId="6" fillId="35" borderId="14" xfId="0" applyNumberFormat="1" applyFont="1" applyFill="1" applyBorder="1" applyAlignment="1" applyProtection="1">
      <alignment horizontal="center" vertical="center"/>
      <protection/>
    </xf>
    <xf numFmtId="191" fontId="0" fillId="0" borderId="13" xfId="0" applyNumberFormat="1" applyBorder="1" applyAlignment="1" applyProtection="1">
      <alignment/>
      <protection/>
    </xf>
    <xf numFmtId="2" fontId="6" fillId="35" borderId="13" xfId="0" applyNumberFormat="1" applyFont="1" applyFill="1" applyBorder="1" applyAlignment="1" applyProtection="1">
      <alignment horizontal="center" vertical="center"/>
      <protection/>
    </xf>
    <xf numFmtId="0" fontId="6" fillId="0" borderId="21" xfId="0" applyFont="1" applyFill="1" applyBorder="1" applyAlignment="1" applyProtection="1">
      <alignment horizontal="right"/>
      <protection/>
    </xf>
    <xf numFmtId="0" fontId="6" fillId="35"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lignment horizontal="center" vertical="center"/>
    </xf>
    <xf numFmtId="0" fontId="0" fillId="0" borderId="13"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2">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
      <fill>
        <patternFill patternType="none">
          <bgColor indexed="65"/>
        </patternFill>
      </fill>
    </dxf>
    <dxf>
      <font>
        <b/>
        <i val="0"/>
      </font>
      <fill>
        <patternFill>
          <bgColor indexed="10"/>
        </patternFill>
      </fill>
    </dxf>
    <dxf>
      <font>
        <b/>
        <i val="0"/>
      </font>
      <fill>
        <patternFill>
          <bgColor indexed="10"/>
        </patternFill>
      </fill>
    </dxf>
    <dxf>
      <fill>
        <patternFill patternType="none">
          <bgColor indexed="65"/>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4"/>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7</xdr:col>
      <xdr:colOff>371475</xdr:colOff>
      <xdr:row>2</xdr:row>
      <xdr:rowOff>28575</xdr:rowOff>
    </xdr:to>
    <xdr:pic>
      <xdr:nvPicPr>
        <xdr:cNvPr id="1" name="Picture 1"/>
        <xdr:cNvPicPr preferRelativeResize="1">
          <a:picLocks noChangeAspect="1"/>
        </xdr:cNvPicPr>
      </xdr:nvPicPr>
      <xdr:blipFill>
        <a:blip r:embed="rId1"/>
        <a:stretch>
          <a:fillRect/>
        </a:stretch>
      </xdr:blipFill>
      <xdr:spPr>
        <a:xfrm>
          <a:off x="5362575" y="28575"/>
          <a:ext cx="3619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dimension ref="A1:U66"/>
  <sheetViews>
    <sheetView showGridLines="0" tabSelected="1" view="pageBreakPreview" zoomScale="55" zoomScaleNormal="80" zoomScaleSheetLayoutView="55" zoomScalePageLayoutView="0" workbookViewId="0" topLeftCell="A14">
      <selection activeCell="T23" sqref="T23"/>
    </sheetView>
  </sheetViews>
  <sheetFormatPr defaultColWidth="11.421875" defaultRowHeight="12.75"/>
  <cols>
    <col min="1" max="1" width="24.28125" style="238" customWidth="1"/>
    <col min="2" max="2" width="70.7109375" style="239" customWidth="1"/>
    <col min="3" max="4" width="8.7109375" style="240" customWidth="1"/>
    <col min="5" max="6" width="9.57421875" style="240" customWidth="1"/>
    <col min="7" max="7" width="13.00390625" style="225" customWidth="1"/>
    <col min="8" max="8" width="2.00390625" style="182" customWidth="1"/>
    <col min="9" max="12" width="14.7109375" style="178" customWidth="1"/>
    <col min="13" max="13" width="10.7109375" style="178" customWidth="1"/>
    <col min="14" max="14" width="4.7109375" style="178" customWidth="1"/>
    <col min="15" max="15" width="14.7109375" style="178" customWidth="1"/>
    <col min="16" max="16" width="10.7109375" style="178" customWidth="1"/>
    <col min="17" max="17" width="4.7109375" style="178" customWidth="1"/>
    <col min="18" max="18" width="7.7109375" style="178" customWidth="1"/>
    <col min="19" max="20" width="14.7109375" style="178" customWidth="1"/>
    <col min="21" max="21" width="10.7109375" style="182" hidden="1" customWidth="1"/>
    <col min="22" max="16384" width="11.421875" style="182" customWidth="1"/>
  </cols>
  <sheetData>
    <row r="1" spans="1:20" s="167" customFormat="1" ht="31.5" customHeight="1">
      <c r="A1" s="142" t="s">
        <v>110</v>
      </c>
      <c r="B1" s="303"/>
      <c r="C1" s="303"/>
      <c r="D1" s="303"/>
      <c r="E1" s="303"/>
      <c r="F1" s="303"/>
      <c r="G1" s="303"/>
      <c r="I1" s="275" t="s">
        <v>252</v>
      </c>
      <c r="J1" s="276"/>
      <c r="K1" s="276"/>
      <c r="L1" s="276"/>
      <c r="M1" s="276"/>
      <c r="N1" s="276"/>
      <c r="O1" s="276"/>
      <c r="P1" s="276"/>
      <c r="Q1" s="276"/>
      <c r="R1" s="276"/>
      <c r="S1" s="276"/>
      <c r="T1" s="276"/>
    </row>
    <row r="2" spans="1:20" s="167" customFormat="1" ht="31.5" customHeight="1">
      <c r="A2" s="169" t="s">
        <v>147</v>
      </c>
      <c r="B2" s="286"/>
      <c r="C2" s="286"/>
      <c r="D2" s="286"/>
      <c r="E2" s="286"/>
      <c r="F2" s="286"/>
      <c r="G2" s="286"/>
      <c r="I2" s="168"/>
      <c r="J2" s="168"/>
      <c r="K2" s="168"/>
      <c r="L2" s="168"/>
      <c r="M2" s="168"/>
      <c r="N2" s="168"/>
      <c r="O2" s="168"/>
      <c r="P2" s="168"/>
      <c r="Q2" s="168"/>
      <c r="R2" s="168"/>
      <c r="S2" s="168"/>
      <c r="T2" s="168"/>
    </row>
    <row r="3" spans="1:20" s="167" customFormat="1" ht="34.5" customHeight="1">
      <c r="A3" s="142"/>
      <c r="B3" s="308"/>
      <c r="C3" s="308"/>
      <c r="D3" s="308"/>
      <c r="E3" s="308"/>
      <c r="F3" s="308"/>
      <c r="G3" s="308"/>
      <c r="I3" s="263" t="s">
        <v>148</v>
      </c>
      <c r="J3" s="264"/>
      <c r="K3" s="264"/>
      <c r="L3" s="264"/>
      <c r="M3" s="264"/>
      <c r="N3" s="264"/>
      <c r="O3" s="264"/>
      <c r="P3" s="264"/>
      <c r="Q3" s="264"/>
      <c r="R3" s="264"/>
      <c r="S3" s="264"/>
      <c r="T3" s="264"/>
    </row>
    <row r="4" spans="1:20" s="167" customFormat="1" ht="34.5" customHeight="1" hidden="1">
      <c r="A4" s="170"/>
      <c r="B4" s="171"/>
      <c r="C4" s="172"/>
      <c r="D4" s="172"/>
      <c r="E4" s="172"/>
      <c r="F4" s="172"/>
      <c r="G4" s="173"/>
      <c r="I4" s="174"/>
      <c r="J4" s="175">
        <f>IF(J6="",6,IF(E30="A",1,IF(E30="B",2,IF(E30="C",3,IF(E30="D",4,0)))))</f>
        <v>3</v>
      </c>
      <c r="K4" s="175"/>
      <c r="L4" s="175">
        <f>IF(L6="",6,IF(E19="１級",1,IF(E19="２級",2,IF(E19="３級",3,IF(E19="４級",4,0)))))</f>
        <v>3</v>
      </c>
      <c r="M4" s="175"/>
      <c r="N4" s="175"/>
      <c r="O4" s="175"/>
      <c r="P4" s="175">
        <f>IF(P6="",0,IF('単目量'!E6="１級",1,IF('単目量'!E6="２級",2,IF('単目量'!E6="３級",3,IF('単目量'!E6="４級",4,0)))))</f>
        <v>3</v>
      </c>
      <c r="Q4" s="175"/>
      <c r="R4" s="176"/>
      <c r="S4" s="177"/>
      <c r="T4" s="178"/>
    </row>
    <row r="5" spans="1:20" ht="34.5" customHeight="1" thickBot="1">
      <c r="A5" s="179"/>
      <c r="B5" s="180"/>
      <c r="C5" s="181"/>
      <c r="D5" s="181"/>
      <c r="E5" s="181"/>
      <c r="F5" s="181"/>
      <c r="G5" s="181"/>
      <c r="I5" s="183"/>
      <c r="J5" s="184" t="s">
        <v>149</v>
      </c>
      <c r="K5" s="184" t="s">
        <v>8</v>
      </c>
      <c r="L5" s="184" t="s">
        <v>150</v>
      </c>
      <c r="M5" s="274" t="s">
        <v>121</v>
      </c>
      <c r="N5" s="273"/>
      <c r="O5" s="258"/>
      <c r="P5" s="257" t="s">
        <v>122</v>
      </c>
      <c r="Q5" s="258"/>
      <c r="R5" s="183"/>
      <c r="S5" s="144" t="s">
        <v>123</v>
      </c>
      <c r="T5" s="145" t="s">
        <v>117</v>
      </c>
    </row>
    <row r="6" spans="1:20" s="186" customFormat="1" ht="34.5" customHeight="1">
      <c r="A6" s="293" t="s">
        <v>151</v>
      </c>
      <c r="B6" s="250" t="s">
        <v>152</v>
      </c>
      <c r="C6" s="287" t="s">
        <v>118</v>
      </c>
      <c r="D6" s="288"/>
      <c r="E6" s="289" t="s">
        <v>114</v>
      </c>
      <c r="F6" s="290"/>
      <c r="G6" s="185" t="s">
        <v>0</v>
      </c>
      <c r="I6" s="183"/>
      <c r="J6" s="187" t="str">
        <f>IF($E$30="","",$E$30)</f>
        <v>C</v>
      </c>
      <c r="K6" s="184" t="s">
        <v>8</v>
      </c>
      <c r="L6" s="187" t="str">
        <f>IF($E$19="","",$E$19)</f>
        <v>３級</v>
      </c>
      <c r="M6" s="274" t="s">
        <v>121</v>
      </c>
      <c r="N6" s="273"/>
      <c r="O6" s="258"/>
      <c r="P6" s="261" t="str">
        <f>IF($E$6="","",$E$6)</f>
        <v>３級</v>
      </c>
      <c r="Q6" s="262"/>
      <c r="R6" s="183"/>
      <c r="S6" s="189" t="str">
        <f>IF($P$4=0,"",IF($J$4&gt;$P$4,"",IF($L$4&gt;$P$4,"","☑")))</f>
        <v>☑</v>
      </c>
      <c r="T6" s="189">
        <f>IF($P$4=0,"☑",IF($J$4&gt;$P$4,"☑",IF($L$4&gt;$P$4,"☑","")))</f>
      </c>
    </row>
    <row r="7" spans="1:20" s="186" customFormat="1" ht="34.5" customHeight="1">
      <c r="A7" s="294"/>
      <c r="B7" s="147" t="s">
        <v>153</v>
      </c>
      <c r="C7" s="304" t="s">
        <v>131</v>
      </c>
      <c r="D7" s="305"/>
      <c r="E7" s="306">
        <v>60000</v>
      </c>
      <c r="F7" s="307"/>
      <c r="G7" s="192" t="s">
        <v>11</v>
      </c>
      <c r="I7" s="263" t="s">
        <v>154</v>
      </c>
      <c r="J7" s="264"/>
      <c r="K7" s="264"/>
      <c r="L7" s="264"/>
      <c r="M7" s="264"/>
      <c r="N7" s="264"/>
      <c r="O7" s="264"/>
      <c r="P7" s="264"/>
      <c r="Q7" s="264"/>
      <c r="R7" s="264"/>
      <c r="S7" s="264"/>
      <c r="T7" s="264"/>
    </row>
    <row r="8" spans="1:20" s="186" customFormat="1" ht="34.5" customHeight="1">
      <c r="A8" s="193"/>
      <c r="B8" s="147" t="s">
        <v>155</v>
      </c>
      <c r="C8" s="304" t="s">
        <v>132</v>
      </c>
      <c r="D8" s="305"/>
      <c r="E8" s="306">
        <v>20</v>
      </c>
      <c r="F8" s="307"/>
      <c r="G8" s="192" t="s">
        <v>11</v>
      </c>
      <c r="I8" s="183"/>
      <c r="J8" s="194"/>
      <c r="K8" s="184" t="s">
        <v>133</v>
      </c>
      <c r="L8" s="184"/>
      <c r="M8" s="257" t="s">
        <v>134</v>
      </c>
      <c r="N8" s="258"/>
      <c r="O8" s="184"/>
      <c r="P8" s="257" t="s">
        <v>135</v>
      </c>
      <c r="Q8" s="258"/>
      <c r="R8" s="195"/>
      <c r="S8" s="144" t="s">
        <v>128</v>
      </c>
      <c r="T8" s="145" t="s">
        <v>117</v>
      </c>
    </row>
    <row r="9" spans="1:20" s="186" customFormat="1" ht="34.5" customHeight="1">
      <c r="A9" s="193"/>
      <c r="B9" s="150" t="s">
        <v>156</v>
      </c>
      <c r="C9" s="291" t="s">
        <v>126</v>
      </c>
      <c r="D9" s="292"/>
      <c r="E9" s="325">
        <v>4</v>
      </c>
      <c r="F9" s="326"/>
      <c r="G9" s="192" t="s">
        <v>0</v>
      </c>
      <c r="I9" s="183"/>
      <c r="J9" s="243" t="s">
        <v>222</v>
      </c>
      <c r="K9" s="187">
        <f>IF('単目量'!$E$40="","",'単目量'!$E$40)</f>
        <v>-10</v>
      </c>
      <c r="L9" s="184" t="s">
        <v>8</v>
      </c>
      <c r="M9" s="261">
        <f>IF('単目量'!$E$25="","",'単目量'!$E$25)</f>
        <v>-10</v>
      </c>
      <c r="N9" s="262"/>
      <c r="O9" s="143" t="s">
        <v>157</v>
      </c>
      <c r="P9" s="196">
        <f>IF('単目量'!$E$15="","",'単目量'!$E$15)</f>
        <v>-10</v>
      </c>
      <c r="Q9" s="151" t="s">
        <v>158</v>
      </c>
      <c r="R9" s="195"/>
      <c r="S9" s="189" t="str">
        <f>IF(OR($P$9="",$P$9&gt;100),"",IF($K$9&gt;$P$9,"",IF($M$9&gt;$P$9,"","☑")))</f>
        <v>☑</v>
      </c>
      <c r="T9" s="189">
        <f>IF(OR($P$9="",$P$9&gt;100),"☑",IF($K$9&gt;$P$9,"☑",IF($M$9&gt;$P$9,"☑","")))</f>
      </c>
    </row>
    <row r="10" spans="1:20" s="186" customFormat="1" ht="34.5" customHeight="1">
      <c r="A10" s="193"/>
      <c r="B10" s="150" t="s">
        <v>159</v>
      </c>
      <c r="C10" s="327" t="s">
        <v>127</v>
      </c>
      <c r="D10" s="328"/>
      <c r="E10" s="306">
        <v>1</v>
      </c>
      <c r="F10" s="307"/>
      <c r="G10" s="192" t="s">
        <v>0</v>
      </c>
      <c r="I10" s="183"/>
      <c r="J10" s="243" t="s">
        <v>223</v>
      </c>
      <c r="K10" s="187">
        <f>IF('単目量'!$F$40="","",'単目量'!$F$40)</f>
        <v>40</v>
      </c>
      <c r="L10" s="184" t="s">
        <v>8</v>
      </c>
      <c r="M10" s="261">
        <f>IF('単目量'!$F$25="","",'単目量'!$F$25)</f>
        <v>40</v>
      </c>
      <c r="N10" s="262"/>
      <c r="O10" s="143" t="s">
        <v>136</v>
      </c>
      <c r="P10" s="196">
        <f>IF('単目量'!$F$15="","",'単目量'!$F$15)</f>
        <v>40</v>
      </c>
      <c r="Q10" s="151" t="s">
        <v>137</v>
      </c>
      <c r="R10" s="197"/>
      <c r="S10" s="189" t="str">
        <f>IF(OR($P$10="",$P$10&gt;100),"",IF($K$10&lt;$P$10,"",IF($M$10&lt;$P$10,"","☑")))</f>
        <v>☑</v>
      </c>
      <c r="T10" s="189">
        <f>IF(OR($P$10="",$P$10&gt;100),"☑",IF($K$10&lt;$P$10,"☑",IF($M$10&lt;$P$10,"☑","")))</f>
      </c>
    </row>
    <row r="11" spans="1:20" s="186" customFormat="1" ht="34.5" customHeight="1">
      <c r="A11" s="198"/>
      <c r="B11" s="150" t="s">
        <v>245</v>
      </c>
      <c r="C11" s="153" t="s">
        <v>246</v>
      </c>
      <c r="D11" s="153" t="s">
        <v>247</v>
      </c>
      <c r="E11" s="191">
        <v>12000</v>
      </c>
      <c r="F11" s="201">
        <v>15000</v>
      </c>
      <c r="G11" s="192" t="s">
        <v>11</v>
      </c>
      <c r="I11" s="263" t="s">
        <v>160</v>
      </c>
      <c r="J11" s="264"/>
      <c r="K11" s="264"/>
      <c r="L11" s="264"/>
      <c r="M11" s="264"/>
      <c r="N11" s="264"/>
      <c r="O11" s="264"/>
      <c r="P11" s="264"/>
      <c r="Q11" s="264"/>
      <c r="R11" s="264"/>
      <c r="S11" s="264"/>
      <c r="T11" s="264"/>
    </row>
    <row r="12" spans="1:20" s="186" customFormat="1" ht="34.5" customHeight="1">
      <c r="A12" s="199"/>
      <c r="B12" s="150" t="s">
        <v>161</v>
      </c>
      <c r="C12" s="291" t="s">
        <v>47</v>
      </c>
      <c r="D12" s="292"/>
      <c r="E12" s="306">
        <v>10000</v>
      </c>
      <c r="F12" s="307"/>
      <c r="G12" s="192" t="s">
        <v>11</v>
      </c>
      <c r="I12" s="183"/>
      <c r="J12" s="244" t="s">
        <v>224</v>
      </c>
      <c r="K12" s="184" t="s">
        <v>9</v>
      </c>
      <c r="L12" s="244" t="s">
        <v>225</v>
      </c>
      <c r="M12" s="257" t="s">
        <v>9</v>
      </c>
      <c r="N12" s="258"/>
      <c r="O12" s="244" t="s">
        <v>226</v>
      </c>
      <c r="P12" s="274" t="s">
        <v>162</v>
      </c>
      <c r="Q12" s="258"/>
      <c r="R12" s="195"/>
      <c r="S12" s="144" t="s">
        <v>124</v>
      </c>
      <c r="T12" s="145" t="s">
        <v>117</v>
      </c>
    </row>
    <row r="13" spans="1:20" s="186" customFormat="1" ht="34.5" customHeight="1">
      <c r="A13" s="199"/>
      <c r="B13" s="150" t="s">
        <v>163</v>
      </c>
      <c r="C13" s="291" t="s">
        <v>48</v>
      </c>
      <c r="D13" s="292"/>
      <c r="E13" s="306">
        <v>30000</v>
      </c>
      <c r="F13" s="307"/>
      <c r="G13" s="192" t="s">
        <v>11</v>
      </c>
      <c r="I13" s="183"/>
      <c r="J13" s="200">
        <f>IF('単目量'!$E$43="","",'単目量'!$E$43^2)</f>
        <v>0.25</v>
      </c>
      <c r="K13" s="184" t="s">
        <v>9</v>
      </c>
      <c r="L13" s="251">
        <f>IF('単目量'!$E$26="","",'単目量'!$E$26^2)</f>
        <v>0</v>
      </c>
      <c r="M13" s="257" t="s">
        <v>9</v>
      </c>
      <c r="N13" s="258"/>
      <c r="O13" s="200">
        <f>IF('単目量'!$E$41="","",'単目量'!$E$41^2)</f>
        <v>0.6400000000000001</v>
      </c>
      <c r="P13" s="274" t="s">
        <v>164</v>
      </c>
      <c r="Q13" s="258"/>
      <c r="R13" s="195"/>
      <c r="S13" s="189" t="str">
        <f>IF(OR($O$13="",$O$13&gt;(0.8)^2,$O$13&lt;(0)^2,$L$13="",$L$13&gt;(0.8)^2,$L$13&lt;(0)^2,$J$13=""),"",IF($J$13+$L$13+$O$13&gt;1,"","☑"))</f>
        <v>☑</v>
      </c>
      <c r="T13" s="189">
        <f>IF(OR($O$13="",$O$13&gt;(0.8)^2,$O$13&lt;(0)^2,$L$13="",$L$13&gt;(0.8)^2,$L$13&lt;(0)^2,$J$13=""),"☑",IF($J$13+$L$13+$O$13&gt;1,"☑",""))</f>
      </c>
    </row>
    <row r="14" spans="1:20" s="186" customFormat="1" ht="34.5" customHeight="1">
      <c r="A14" s="198"/>
      <c r="B14" s="152" t="s">
        <v>165</v>
      </c>
      <c r="C14" s="291" t="s">
        <v>166</v>
      </c>
      <c r="D14" s="292"/>
      <c r="E14" s="306">
        <v>0</v>
      </c>
      <c r="F14" s="307"/>
      <c r="G14" s="192" t="s">
        <v>11</v>
      </c>
      <c r="I14" s="263" t="s">
        <v>167</v>
      </c>
      <c r="J14" s="264"/>
      <c r="K14" s="264"/>
      <c r="L14" s="264"/>
      <c r="M14" s="264"/>
      <c r="N14" s="264"/>
      <c r="O14" s="264"/>
      <c r="P14" s="264"/>
      <c r="Q14" s="264"/>
      <c r="R14" s="264"/>
      <c r="S14" s="264"/>
      <c r="T14" s="264"/>
    </row>
    <row r="15" spans="1:20" s="186" customFormat="1" ht="34.5" customHeight="1">
      <c r="A15" s="198"/>
      <c r="B15" s="150" t="s">
        <v>168</v>
      </c>
      <c r="C15" s="153" t="s">
        <v>169</v>
      </c>
      <c r="D15" s="153" t="s">
        <v>170</v>
      </c>
      <c r="E15" s="201">
        <v>-10</v>
      </c>
      <c r="F15" s="201">
        <v>40</v>
      </c>
      <c r="G15" s="192" t="s">
        <v>12</v>
      </c>
      <c r="I15" s="183"/>
      <c r="J15" s="195"/>
      <c r="K15" s="183"/>
      <c r="L15" s="183"/>
      <c r="M15" s="267" t="s">
        <v>227</v>
      </c>
      <c r="N15" s="258"/>
      <c r="O15" s="143" t="s">
        <v>115</v>
      </c>
      <c r="P15" s="267" t="s">
        <v>228</v>
      </c>
      <c r="Q15" s="258"/>
      <c r="R15" s="202"/>
      <c r="S15" s="144" t="s">
        <v>138</v>
      </c>
      <c r="T15" s="145" t="s">
        <v>117</v>
      </c>
    </row>
    <row r="16" spans="1:20" s="186" customFormat="1" ht="34.5" customHeight="1">
      <c r="A16" s="193"/>
      <c r="B16" s="150" t="s">
        <v>171</v>
      </c>
      <c r="C16" s="291" t="s">
        <v>1</v>
      </c>
      <c r="D16" s="292"/>
      <c r="E16" s="319"/>
      <c r="F16" s="320"/>
      <c r="G16" s="192" t="s">
        <v>2</v>
      </c>
      <c r="I16" s="183"/>
      <c r="J16" s="178"/>
      <c r="K16" s="274" t="s">
        <v>112</v>
      </c>
      <c r="L16" s="258"/>
      <c r="M16" s="259">
        <f>IF('単目量'!$E$20="","",'単目量'!$E$20)</f>
        <v>3000</v>
      </c>
      <c r="N16" s="260"/>
      <c r="O16" s="143" t="s">
        <v>115</v>
      </c>
      <c r="P16" s="261">
        <f>IF('単目量'!$E$8="","",IF('単目量'!$E$8=0,"",'単目量'!$E$7/'単目量'!$E$8))</f>
        <v>3000</v>
      </c>
      <c r="Q16" s="262"/>
      <c r="R16" s="202"/>
      <c r="S16" s="189" t="str">
        <f>IF(OR($M$16="",$M$16&gt;100000000,$P$16=""),"",IF($P$16&gt;$M$16,"","☑"))</f>
        <v>☑</v>
      </c>
      <c r="T16" s="189">
        <f>IF(OR($M$16="",$M$16&gt;100000000,$P$16=""),"☑",IF($P$16&gt;$M$16,"☑",""))</f>
      </c>
    </row>
    <row r="17" spans="1:20" s="186" customFormat="1" ht="34.5" customHeight="1" thickBot="1">
      <c r="A17" s="198"/>
      <c r="B17" s="154" t="s">
        <v>172</v>
      </c>
      <c r="C17" s="329" t="s">
        <v>3</v>
      </c>
      <c r="D17" s="330"/>
      <c r="E17" s="331"/>
      <c r="F17" s="332"/>
      <c r="G17" s="203" t="s">
        <v>173</v>
      </c>
      <c r="I17" s="263" t="s">
        <v>174</v>
      </c>
      <c r="J17" s="264"/>
      <c r="K17" s="264"/>
      <c r="L17" s="264"/>
      <c r="M17" s="264"/>
      <c r="N17" s="264"/>
      <c r="O17" s="264"/>
      <c r="P17" s="264"/>
      <c r="Q17" s="264"/>
      <c r="R17" s="264"/>
      <c r="S17" s="264"/>
      <c r="T17" s="264"/>
    </row>
    <row r="18" spans="1:21" s="186" customFormat="1" ht="34.5" customHeight="1" thickBot="1">
      <c r="A18" s="204"/>
      <c r="B18" s="204"/>
      <c r="C18" s="204"/>
      <c r="D18" s="204"/>
      <c r="E18" s="204"/>
      <c r="F18" s="204"/>
      <c r="G18" s="204"/>
      <c r="I18" s="279" t="s">
        <v>248</v>
      </c>
      <c r="J18" s="280"/>
      <c r="K18" s="280"/>
      <c r="L18" s="280"/>
      <c r="M18" s="280"/>
      <c r="N18" s="280"/>
      <c r="O18" s="281"/>
      <c r="P18" s="282">
        <f>IF('単目量'!$F$11="","DL 未入力",IF('単目量'!$E$13="","NUD 未入力",IF('単目量'!$E$12="","IZRS 未入力",IF('単目量'!$E$7="","",IF('単目量'!$E$7=0,"",('単目量'!$E$7+'単目量'!$E$12+'単目量'!$E$13+'単目量'!$F$11+'単目量'!$E$14)/'単目量'!$E$7)))))</f>
        <v>1.9166666666666667</v>
      </c>
      <c r="Q18" s="283"/>
      <c r="R18" s="195"/>
      <c r="S18" s="205"/>
      <c r="T18" s="178"/>
      <c r="U18" s="206">
        <f>IF(OR('単目量'!$E$11="",'単目量'!$E$13="",'単目量'!$E$12=""),"NEIN",IF('単目量'!$E$7="","",IF('単目量'!$E$7=0,"",('単目量'!$E$7+'単目量'!$E$12+'単目量'!$E$13+'単目量'!$E$11)/'単目量'!$E$7)))</f>
        <v>1.8666666666666667</v>
      </c>
    </row>
    <row r="19" spans="1:20" s="186" customFormat="1" ht="34.5" customHeight="1">
      <c r="A19" s="146" t="s">
        <v>240</v>
      </c>
      <c r="B19" s="155" t="s">
        <v>175</v>
      </c>
      <c r="C19" s="287" t="s">
        <v>69</v>
      </c>
      <c r="D19" s="288"/>
      <c r="E19" s="289" t="s">
        <v>114</v>
      </c>
      <c r="F19" s="290"/>
      <c r="G19" s="185" t="s">
        <v>0</v>
      </c>
      <c r="I19" s="183"/>
      <c r="J19" s="183"/>
      <c r="K19" s="183"/>
      <c r="L19" s="267" t="s">
        <v>229</v>
      </c>
      <c r="M19" s="273"/>
      <c r="N19" s="258"/>
      <c r="O19" s="143" t="s">
        <v>116</v>
      </c>
      <c r="P19" s="267" t="s">
        <v>230</v>
      </c>
      <c r="Q19" s="258"/>
      <c r="R19" s="202"/>
      <c r="S19" s="144" t="s">
        <v>139</v>
      </c>
      <c r="T19" s="145" t="s">
        <v>117</v>
      </c>
    </row>
    <row r="20" spans="1:20" s="186" customFormat="1" ht="34.5" customHeight="1">
      <c r="A20" s="190"/>
      <c r="B20" s="156" t="s">
        <v>176</v>
      </c>
      <c r="C20" s="291" t="s">
        <v>177</v>
      </c>
      <c r="D20" s="292"/>
      <c r="E20" s="306">
        <v>3000</v>
      </c>
      <c r="F20" s="307"/>
      <c r="G20" s="192" t="s">
        <v>0</v>
      </c>
      <c r="I20" s="183"/>
      <c r="J20" s="195"/>
      <c r="K20" s="195"/>
      <c r="L20" s="284">
        <f>IF('単目量'!$E$10="","R 未入力",IF($P$18="","Q 未入力",IF('単目量'!$E$9="","N 未入力",($P$18*'単目量'!$E$7*'単目量'!$E$10)/'単目量'!$E$9)))</f>
        <v>28750</v>
      </c>
      <c r="M20" s="285"/>
      <c r="N20" s="188" t="s">
        <v>140</v>
      </c>
      <c r="O20" s="143" t="s">
        <v>141</v>
      </c>
      <c r="P20" s="207">
        <f>IF('単目量'!$E$31="","",'単目量'!$E$31)</f>
        <v>30000</v>
      </c>
      <c r="Q20" s="188" t="s">
        <v>140</v>
      </c>
      <c r="R20" s="202"/>
      <c r="S20" s="189" t="str">
        <f>IF(OR($U$18="",$P$18="",$P$20="",$P$20&gt;10000000),"",IF($L$20&gt;$P$20,"","☑"))</f>
        <v>☑</v>
      </c>
      <c r="T20" s="189">
        <f>IF(OR($U$18="☑",$P$18="",$P$20="",$P$20&gt;10000000),"☑",IF($L$20&gt;$P$20,"☑",""))</f>
      </c>
    </row>
    <row r="21" spans="1:20" s="186" customFormat="1" ht="34.5" customHeight="1">
      <c r="A21" s="245" t="s">
        <v>241</v>
      </c>
      <c r="B21" s="156" t="s">
        <v>178</v>
      </c>
      <c r="C21" s="291" t="s">
        <v>179</v>
      </c>
      <c r="D21" s="292"/>
      <c r="E21" s="319"/>
      <c r="F21" s="320"/>
      <c r="G21" s="192" t="s">
        <v>44</v>
      </c>
      <c r="I21" s="263" t="s">
        <v>180</v>
      </c>
      <c r="J21" s="264"/>
      <c r="K21" s="264"/>
      <c r="L21" s="264"/>
      <c r="M21" s="264"/>
      <c r="N21" s="264"/>
      <c r="O21" s="264"/>
      <c r="P21" s="264"/>
      <c r="Q21" s="264"/>
      <c r="R21" s="264"/>
      <c r="S21" s="264"/>
      <c r="T21" s="264"/>
    </row>
    <row r="22" spans="1:20" s="186" customFormat="1" ht="34.5" customHeight="1">
      <c r="A22" s="246"/>
      <c r="B22" s="156" t="s">
        <v>181</v>
      </c>
      <c r="C22" s="291" t="s">
        <v>182</v>
      </c>
      <c r="D22" s="292"/>
      <c r="E22" s="319"/>
      <c r="F22" s="320"/>
      <c r="G22" s="192" t="s">
        <v>66</v>
      </c>
      <c r="I22" s="183"/>
      <c r="J22" s="195"/>
      <c r="K22" s="183"/>
      <c r="L22" s="183"/>
      <c r="M22" s="267" t="s">
        <v>231</v>
      </c>
      <c r="N22" s="258"/>
      <c r="O22" s="143" t="s">
        <v>115</v>
      </c>
      <c r="P22" s="267" t="s">
        <v>228</v>
      </c>
      <c r="Q22" s="258"/>
      <c r="R22" s="202"/>
      <c r="S22" s="144" t="s">
        <v>125</v>
      </c>
      <c r="T22" s="145" t="s">
        <v>117</v>
      </c>
    </row>
    <row r="23" spans="1:20" s="186" customFormat="1" ht="34.5" customHeight="1">
      <c r="A23" s="247" t="s">
        <v>242</v>
      </c>
      <c r="B23" s="156" t="s">
        <v>183</v>
      </c>
      <c r="C23" s="291" t="s">
        <v>184</v>
      </c>
      <c r="D23" s="292"/>
      <c r="E23" s="319"/>
      <c r="F23" s="320"/>
      <c r="G23" s="192" t="s">
        <v>129</v>
      </c>
      <c r="I23" s="183"/>
      <c r="J23" s="178"/>
      <c r="K23" s="274" t="s">
        <v>112</v>
      </c>
      <c r="L23" s="258"/>
      <c r="M23" s="259">
        <f>IF('単目量'!$E$34="","",'単目量'!$E$34)</f>
        <v>3000</v>
      </c>
      <c r="N23" s="260"/>
      <c r="O23" s="143" t="s">
        <v>115</v>
      </c>
      <c r="P23" s="261">
        <f>IF('単目量'!$E$8="","",IF('単目量'!$E$8=0,"",'単目量'!$E$7/'単目量'!$E$8))</f>
        <v>3000</v>
      </c>
      <c r="Q23" s="262"/>
      <c r="R23" s="202"/>
      <c r="S23" s="189" t="str">
        <f>IF(OR($M$23="",$M$23&gt;100000000,$P$23=""),"",IF($P$23&gt;$M$23,"","☑"))</f>
        <v>☑</v>
      </c>
      <c r="T23" s="189">
        <f>IF(OR($M$23="",$M$23&gt;100000000,$P$23=""),"☑",IF($P$23&gt;$M$23,"☑",""))</f>
      </c>
    </row>
    <row r="24" spans="1:20" s="186" customFormat="1" ht="34.5" customHeight="1">
      <c r="A24" s="248"/>
      <c r="B24" s="156" t="s">
        <v>185</v>
      </c>
      <c r="C24" s="153" t="s">
        <v>186</v>
      </c>
      <c r="D24" s="153" t="s">
        <v>187</v>
      </c>
      <c r="E24" s="254"/>
      <c r="F24" s="254"/>
      <c r="G24" s="192" t="s">
        <v>119</v>
      </c>
      <c r="I24" s="263" t="s">
        <v>188</v>
      </c>
      <c r="J24" s="264"/>
      <c r="K24" s="264"/>
      <c r="L24" s="264"/>
      <c r="M24" s="264"/>
      <c r="N24" s="264"/>
      <c r="O24" s="264"/>
      <c r="P24" s="264"/>
      <c r="Q24" s="264"/>
      <c r="R24" s="264"/>
      <c r="S24" s="264"/>
      <c r="T24" s="264"/>
    </row>
    <row r="25" spans="1:20" s="186" customFormat="1" ht="34.5" customHeight="1">
      <c r="A25" s="249" t="s">
        <v>244</v>
      </c>
      <c r="B25" s="156" t="s">
        <v>189</v>
      </c>
      <c r="C25" s="153" t="s">
        <v>169</v>
      </c>
      <c r="D25" s="153" t="s">
        <v>170</v>
      </c>
      <c r="E25" s="191">
        <v>-10</v>
      </c>
      <c r="F25" s="201">
        <v>40</v>
      </c>
      <c r="G25" s="192" t="s">
        <v>12</v>
      </c>
      <c r="I25" s="183"/>
      <c r="J25" s="195"/>
      <c r="K25" s="195"/>
      <c r="L25" s="195"/>
      <c r="M25" s="265" t="s">
        <v>249</v>
      </c>
      <c r="N25" s="266"/>
      <c r="O25" s="143" t="s">
        <v>115</v>
      </c>
      <c r="P25" s="267" t="s">
        <v>232</v>
      </c>
      <c r="Q25" s="258"/>
      <c r="R25" s="202"/>
      <c r="S25" s="144" t="s">
        <v>138</v>
      </c>
      <c r="T25" s="145" t="s">
        <v>117</v>
      </c>
    </row>
    <row r="26" spans="1:20" s="186" customFormat="1" ht="34.5" customHeight="1">
      <c r="A26" s="246"/>
      <c r="B26" s="156" t="s">
        <v>190</v>
      </c>
      <c r="C26" s="291" t="s">
        <v>191</v>
      </c>
      <c r="D26" s="292"/>
      <c r="E26" s="335">
        <v>0</v>
      </c>
      <c r="F26" s="336"/>
      <c r="G26" s="192" t="s">
        <v>0</v>
      </c>
      <c r="I26" s="183"/>
      <c r="J26" s="195"/>
      <c r="K26" s="195"/>
      <c r="L26" s="195"/>
      <c r="M26" s="196">
        <f>IF('単目量'!$E$9="","",IF('単目量'!$E$9=0,"",'単目量'!$E$11*'単目量'!$E$10/'単目量'!$E$9))</f>
        <v>3000</v>
      </c>
      <c r="N26" s="209" t="s">
        <v>142</v>
      </c>
      <c r="O26" s="143" t="s">
        <v>115</v>
      </c>
      <c r="P26" s="196">
        <f>IF('単目量'!$E$32="","",'単目量'!$E$32)</f>
        <v>2000</v>
      </c>
      <c r="Q26" s="210" t="s">
        <v>142</v>
      </c>
      <c r="R26" s="202"/>
      <c r="S26" s="189" t="str">
        <f>IF(OR($M$26="",$P$26=""),"",IF($P$26&gt;$M$26,"","☑"))</f>
        <v>☑</v>
      </c>
      <c r="T26" s="189">
        <f>IF(OR($M$26="",$P$26=""),"☑",IF($P$26&gt;$M$26,"☑",""))</f>
      </c>
    </row>
    <row r="27" spans="1:20" s="186" customFormat="1" ht="34.5" customHeight="1">
      <c r="A27" s="208"/>
      <c r="B27" s="156" t="s">
        <v>192</v>
      </c>
      <c r="C27" s="291"/>
      <c r="D27" s="292"/>
      <c r="E27" s="319"/>
      <c r="F27" s="320"/>
      <c r="G27" s="148" t="s">
        <v>120</v>
      </c>
      <c r="I27" s="263" t="s">
        <v>193</v>
      </c>
      <c r="J27" s="264"/>
      <c r="K27" s="264"/>
      <c r="L27" s="264"/>
      <c r="M27" s="264"/>
      <c r="N27" s="264"/>
      <c r="O27" s="264"/>
      <c r="P27" s="264"/>
      <c r="Q27" s="264"/>
      <c r="R27" s="264"/>
      <c r="S27" s="264"/>
      <c r="T27" s="264"/>
    </row>
    <row r="28" spans="1:20" s="186" customFormat="1" ht="34.5" customHeight="1" thickBot="1">
      <c r="A28" s="211"/>
      <c r="B28" s="157" t="s">
        <v>194</v>
      </c>
      <c r="C28" s="301" t="s">
        <v>195</v>
      </c>
      <c r="D28" s="302"/>
      <c r="E28" s="323"/>
      <c r="F28" s="324"/>
      <c r="G28" s="212" t="s">
        <v>196</v>
      </c>
      <c r="I28" s="183"/>
      <c r="J28" s="195"/>
      <c r="K28" s="195"/>
      <c r="L28" s="195"/>
      <c r="M28" s="267" t="s">
        <v>233</v>
      </c>
      <c r="N28" s="258"/>
      <c r="O28" s="143" t="s">
        <v>115</v>
      </c>
      <c r="P28" s="267" t="s">
        <v>234</v>
      </c>
      <c r="Q28" s="258"/>
      <c r="R28" s="202"/>
      <c r="S28" s="144" t="s">
        <v>124</v>
      </c>
      <c r="T28" s="145" t="s">
        <v>117</v>
      </c>
    </row>
    <row r="29" spans="9:20" s="186" customFormat="1" ht="34.5" customHeight="1" thickBot="1">
      <c r="I29" s="183"/>
      <c r="J29" s="195"/>
      <c r="K29" s="195"/>
      <c r="L29" s="195"/>
      <c r="M29" s="213">
        <f>IF('単目量'!$E$9="","",IF('単目量'!$E$9=0,"",'単目量'!$E$8*'単目量'!$E$10/SQRT('単目量'!$E$9)))</f>
        <v>10</v>
      </c>
      <c r="N29" s="214" t="s">
        <v>143</v>
      </c>
      <c r="O29" s="143" t="s">
        <v>115</v>
      </c>
      <c r="P29" s="215">
        <f>IF('単目量'!$E$31="","",IF('単目量'!$E$36&lt;&gt;0,'単目量'!$E$31/'単目量'!$E$36,IF('単目量'!$E$35&lt;&gt;0,'単目量'!$E$35,IF('単目量'!$E$34=0,"",'単目量'!$E$31/'単目量'!$E$34))))</f>
        <v>5</v>
      </c>
      <c r="Q29" s="216" t="s">
        <v>143</v>
      </c>
      <c r="R29" s="202"/>
      <c r="S29" s="189" t="str">
        <f>IF(OR($M$29="",$P$29=""),"",IF($P$29&gt;$M$29,"","☑"))</f>
        <v>☑</v>
      </c>
      <c r="T29" s="189">
        <f>IF(OR($M$29="",$P$29=""),"☑",IF($P$29&gt;$M$29,"☑",""))</f>
      </c>
    </row>
    <row r="30" spans="1:20" s="186" customFormat="1" ht="34.5" customHeight="1">
      <c r="A30" s="146" t="s">
        <v>197</v>
      </c>
      <c r="B30" s="155" t="s">
        <v>198</v>
      </c>
      <c r="C30" s="287" t="s">
        <v>113</v>
      </c>
      <c r="D30" s="288"/>
      <c r="E30" s="339" t="s">
        <v>4</v>
      </c>
      <c r="F30" s="290"/>
      <c r="G30" s="185" t="s">
        <v>0</v>
      </c>
      <c r="I30" s="149" t="s">
        <v>199</v>
      </c>
      <c r="J30" s="183"/>
      <c r="K30" s="195"/>
      <c r="L30" s="195"/>
      <c r="M30" s="195"/>
      <c r="N30" s="195"/>
      <c r="O30" s="195"/>
      <c r="P30" s="195"/>
      <c r="Q30" s="195"/>
      <c r="R30" s="195"/>
      <c r="S30" s="217"/>
      <c r="T30" s="178"/>
    </row>
    <row r="31" spans="1:20" s="186" customFormat="1" ht="34.5" customHeight="1">
      <c r="A31" s="190"/>
      <c r="B31" s="156" t="s">
        <v>200</v>
      </c>
      <c r="C31" s="291" t="s">
        <v>201</v>
      </c>
      <c r="D31" s="292"/>
      <c r="E31" s="306">
        <v>30000</v>
      </c>
      <c r="F31" s="307"/>
      <c r="G31" s="192" t="s">
        <v>11</v>
      </c>
      <c r="I31" s="183"/>
      <c r="J31" s="195"/>
      <c r="K31" s="267" t="s">
        <v>250</v>
      </c>
      <c r="L31" s="273"/>
      <c r="M31" s="273"/>
      <c r="N31" s="258"/>
      <c r="O31" s="143" t="s">
        <v>115</v>
      </c>
      <c r="P31" s="267" t="s">
        <v>235</v>
      </c>
      <c r="Q31" s="258"/>
      <c r="R31" s="202"/>
      <c r="S31" s="144" t="s">
        <v>125</v>
      </c>
      <c r="T31" s="145" t="s">
        <v>117</v>
      </c>
    </row>
    <row r="32" spans="1:20" s="186" customFormat="1" ht="34.5" customHeight="1">
      <c r="A32" s="245" t="s">
        <v>241</v>
      </c>
      <c r="B32" s="156" t="s">
        <v>202</v>
      </c>
      <c r="C32" s="291" t="s">
        <v>203</v>
      </c>
      <c r="D32" s="292"/>
      <c r="E32" s="306">
        <v>2000</v>
      </c>
      <c r="F32" s="307"/>
      <c r="G32" s="192" t="s">
        <v>11</v>
      </c>
      <c r="I32" s="183"/>
      <c r="J32" s="195"/>
      <c r="K32" s="268"/>
      <c r="L32" s="269"/>
      <c r="M32" s="269"/>
      <c r="N32" s="270"/>
      <c r="O32" s="143" t="s">
        <v>115</v>
      </c>
      <c r="P32" s="271"/>
      <c r="Q32" s="272"/>
      <c r="R32" s="202"/>
      <c r="S32" s="253"/>
      <c r="T32" s="253"/>
    </row>
    <row r="33" spans="1:20" s="186" customFormat="1" ht="34.5" customHeight="1">
      <c r="A33" s="246"/>
      <c r="B33" s="156" t="s">
        <v>204</v>
      </c>
      <c r="C33" s="291" t="s">
        <v>4</v>
      </c>
      <c r="D33" s="292"/>
      <c r="E33" s="306">
        <v>2</v>
      </c>
      <c r="F33" s="307"/>
      <c r="G33" s="192" t="s">
        <v>13</v>
      </c>
      <c r="I33" s="183"/>
      <c r="J33" s="178"/>
      <c r="K33" s="257" t="s">
        <v>243</v>
      </c>
      <c r="L33" s="273"/>
      <c r="M33" s="273"/>
      <c r="N33" s="258"/>
      <c r="O33" s="158" t="s">
        <v>115</v>
      </c>
      <c r="P33" s="257" t="s">
        <v>236</v>
      </c>
      <c r="Q33" s="258"/>
      <c r="R33" s="202"/>
      <c r="S33" s="159" t="s">
        <v>144</v>
      </c>
      <c r="T33" s="160" t="s">
        <v>117</v>
      </c>
    </row>
    <row r="34" spans="1:20" ht="34.5" customHeight="1">
      <c r="A34" s="247" t="s">
        <v>242</v>
      </c>
      <c r="B34" s="156" t="s">
        <v>205</v>
      </c>
      <c r="C34" s="291" t="s">
        <v>206</v>
      </c>
      <c r="D34" s="292"/>
      <c r="E34" s="306">
        <v>3000</v>
      </c>
      <c r="F34" s="307"/>
      <c r="G34" s="192" t="s">
        <v>0</v>
      </c>
      <c r="I34" s="183"/>
      <c r="J34" s="195"/>
      <c r="K34" s="340" t="s">
        <v>251</v>
      </c>
      <c r="L34" s="341"/>
      <c r="M34" s="341"/>
      <c r="N34" s="342"/>
      <c r="O34" s="143" t="s">
        <v>115</v>
      </c>
      <c r="P34" s="255">
        <f>IF('単目量'!$E$23="","",'単目量'!$E$23)</f>
      </c>
      <c r="Q34" s="256"/>
      <c r="R34" s="202"/>
      <c r="S34" s="253"/>
      <c r="T34" s="253"/>
    </row>
    <row r="35" spans="1:20" ht="34.5" customHeight="1">
      <c r="A35" s="248"/>
      <c r="B35" s="161" t="s">
        <v>207</v>
      </c>
      <c r="C35" s="321" t="s">
        <v>208</v>
      </c>
      <c r="D35" s="322"/>
      <c r="E35" s="337"/>
      <c r="F35" s="338"/>
      <c r="G35" s="203" t="s">
        <v>11</v>
      </c>
      <c r="I35" s="162" t="s">
        <v>209</v>
      </c>
      <c r="J35" s="218"/>
      <c r="K35" s="218"/>
      <c r="L35" s="218"/>
      <c r="M35" s="218"/>
      <c r="N35" s="218"/>
      <c r="O35" s="218"/>
      <c r="P35" s="218"/>
      <c r="Q35" s="218"/>
      <c r="R35" s="218"/>
      <c r="S35" s="218"/>
      <c r="T35" s="218"/>
    </row>
    <row r="36" spans="1:20" s="186" customFormat="1" ht="34.5" customHeight="1">
      <c r="A36" s="249" t="s">
        <v>244</v>
      </c>
      <c r="B36" s="219" t="s">
        <v>210</v>
      </c>
      <c r="C36" s="309" t="s">
        <v>5</v>
      </c>
      <c r="D36" s="310"/>
      <c r="E36" s="333">
        <v>6000</v>
      </c>
      <c r="F36" s="334"/>
      <c r="G36" s="220" t="s">
        <v>0</v>
      </c>
      <c r="I36" s="183"/>
      <c r="J36" s="195"/>
      <c r="K36" s="243" t="s">
        <v>211</v>
      </c>
      <c r="L36" s="143" t="s">
        <v>116</v>
      </c>
      <c r="M36" s="267" t="s">
        <v>237</v>
      </c>
      <c r="N36" s="258"/>
      <c r="O36" s="143" t="s">
        <v>116</v>
      </c>
      <c r="P36" s="267" t="s">
        <v>212</v>
      </c>
      <c r="Q36" s="258"/>
      <c r="R36" s="202"/>
      <c r="S36" s="144" t="s">
        <v>145</v>
      </c>
      <c r="T36" s="145" t="s">
        <v>117</v>
      </c>
    </row>
    <row r="37" spans="1:20" s="186" customFormat="1" ht="34.5" customHeight="1">
      <c r="A37" s="246"/>
      <c r="B37" s="163" t="s">
        <v>213</v>
      </c>
      <c r="C37" s="311" t="s">
        <v>6</v>
      </c>
      <c r="D37" s="312"/>
      <c r="E37" s="315"/>
      <c r="F37" s="316"/>
      <c r="G37" s="221" t="s">
        <v>11</v>
      </c>
      <c r="I37" s="183"/>
      <c r="J37" s="195"/>
      <c r="K37" s="252"/>
      <c r="L37" s="143" t="s">
        <v>130</v>
      </c>
      <c r="M37" s="271"/>
      <c r="N37" s="272"/>
      <c r="O37" s="143" t="s">
        <v>130</v>
      </c>
      <c r="P37" s="271"/>
      <c r="Q37" s="272"/>
      <c r="R37" s="202"/>
      <c r="S37" s="253"/>
      <c r="T37" s="253"/>
    </row>
    <row r="38" spans="1:20" s="186" customFormat="1" ht="34.5" customHeight="1">
      <c r="A38" s="193"/>
      <c r="B38" s="164" t="s">
        <v>214</v>
      </c>
      <c r="C38" s="313" t="s">
        <v>7</v>
      </c>
      <c r="D38" s="314"/>
      <c r="E38" s="317"/>
      <c r="F38" s="318"/>
      <c r="G38" s="222" t="s">
        <v>0</v>
      </c>
      <c r="I38" s="195" t="s">
        <v>215</v>
      </c>
      <c r="J38" s="183"/>
      <c r="K38" s="195"/>
      <c r="L38" s="195"/>
      <c r="M38" s="195"/>
      <c r="N38" s="195"/>
      <c r="O38" s="195"/>
      <c r="P38" s="195"/>
      <c r="Q38" s="195"/>
      <c r="R38" s="195"/>
      <c r="S38" s="217"/>
      <c r="T38" s="178"/>
    </row>
    <row r="39" spans="1:20" s="186" customFormat="1" ht="34.5" customHeight="1">
      <c r="A39" s="193"/>
      <c r="B39" s="156" t="s">
        <v>216</v>
      </c>
      <c r="C39" s="291" t="s">
        <v>217</v>
      </c>
      <c r="D39" s="292"/>
      <c r="E39" s="319"/>
      <c r="F39" s="320"/>
      <c r="G39" s="192" t="s">
        <v>218</v>
      </c>
      <c r="I39" s="183"/>
      <c r="J39" s="195"/>
      <c r="K39" s="223"/>
      <c r="L39" s="223"/>
      <c r="M39" s="257" t="s">
        <v>238</v>
      </c>
      <c r="N39" s="258"/>
      <c r="O39" s="143" t="s">
        <v>116</v>
      </c>
      <c r="P39" s="257" t="s">
        <v>239</v>
      </c>
      <c r="Q39" s="258"/>
      <c r="R39" s="202"/>
      <c r="S39" s="144" t="s">
        <v>219</v>
      </c>
      <c r="T39" s="145" t="s">
        <v>117</v>
      </c>
    </row>
    <row r="40" spans="1:20" s="186" customFormat="1" ht="34.5" customHeight="1">
      <c r="A40" s="193"/>
      <c r="B40" s="156" t="s">
        <v>189</v>
      </c>
      <c r="C40" s="153" t="s">
        <v>169</v>
      </c>
      <c r="D40" s="153" t="s">
        <v>170</v>
      </c>
      <c r="E40" s="201">
        <v>-10</v>
      </c>
      <c r="F40" s="201">
        <v>40</v>
      </c>
      <c r="G40" s="192" t="s">
        <v>12</v>
      </c>
      <c r="I40" s="183"/>
      <c r="J40" s="195"/>
      <c r="K40" s="223"/>
      <c r="L40" s="223"/>
      <c r="M40" s="268"/>
      <c r="N40" s="270"/>
      <c r="O40" s="143" t="s">
        <v>146</v>
      </c>
      <c r="P40" s="277">
        <f>IF('単目量'!$E$28="","",'単目量'!$E$28)</f>
      </c>
      <c r="Q40" s="278"/>
      <c r="R40" s="202"/>
      <c r="S40" s="253"/>
      <c r="T40" s="253"/>
    </row>
    <row r="41" spans="1:7" s="186" customFormat="1" ht="34.5" customHeight="1" thickBot="1">
      <c r="A41" s="198"/>
      <c r="B41" s="161" t="s">
        <v>190</v>
      </c>
      <c r="C41" s="301" t="s">
        <v>220</v>
      </c>
      <c r="D41" s="302"/>
      <c r="E41" s="299">
        <v>0.8</v>
      </c>
      <c r="F41" s="300"/>
      <c r="G41" s="203" t="s">
        <v>0</v>
      </c>
    </row>
    <row r="42" spans="1:20" s="186" customFormat="1" ht="34.5" customHeight="1" thickBot="1">
      <c r="A42" s="204"/>
      <c r="B42" s="204"/>
      <c r="C42" s="204"/>
      <c r="D42" s="204"/>
      <c r="E42" s="204"/>
      <c r="F42" s="204"/>
      <c r="G42" s="204"/>
      <c r="I42" s="178"/>
      <c r="J42" s="178"/>
      <c r="K42" s="178"/>
      <c r="L42" s="178"/>
      <c r="M42" s="178"/>
      <c r="N42" s="178"/>
      <c r="O42" s="178"/>
      <c r="P42" s="178"/>
      <c r="Q42" s="178"/>
      <c r="R42" s="178"/>
      <c r="S42" s="178"/>
      <c r="T42" s="178"/>
    </row>
    <row r="43" spans="1:20" s="186" customFormat="1" ht="34.5" customHeight="1" thickBot="1">
      <c r="A43" s="165" t="s">
        <v>111</v>
      </c>
      <c r="B43" s="166" t="s">
        <v>190</v>
      </c>
      <c r="C43" s="297" t="s">
        <v>221</v>
      </c>
      <c r="D43" s="298"/>
      <c r="E43" s="295">
        <v>0.5</v>
      </c>
      <c r="F43" s="296"/>
      <c r="G43" s="224" t="s">
        <v>0</v>
      </c>
      <c r="I43" s="178"/>
      <c r="J43" s="178"/>
      <c r="K43" s="178"/>
      <c r="L43" s="178"/>
      <c r="M43" s="178"/>
      <c r="N43" s="178"/>
      <c r="O43" s="178"/>
      <c r="P43" s="178"/>
      <c r="Q43" s="178"/>
      <c r="R43" s="178"/>
      <c r="S43" s="178"/>
      <c r="T43" s="178"/>
    </row>
    <row r="44" spans="3:20" s="186" customFormat="1" ht="31.5" customHeight="1">
      <c r="C44" s="225"/>
      <c r="D44" s="225"/>
      <c r="E44" s="225"/>
      <c r="F44" s="225"/>
      <c r="I44" s="178"/>
      <c r="J44" s="178"/>
      <c r="K44" s="178"/>
      <c r="L44" s="178"/>
      <c r="M44" s="178"/>
      <c r="N44" s="178"/>
      <c r="O44" s="178"/>
      <c r="P44" s="178"/>
      <c r="Q44" s="178"/>
      <c r="R44" s="178"/>
      <c r="S44" s="178"/>
      <c r="T44" s="178"/>
    </row>
    <row r="45" spans="3:20" s="186" customFormat="1" ht="31.5" customHeight="1">
      <c r="C45" s="225"/>
      <c r="D45" s="225"/>
      <c r="E45" s="225"/>
      <c r="F45" s="225"/>
      <c r="I45" s="178"/>
      <c r="J45" s="178"/>
      <c r="K45" s="178"/>
      <c r="L45" s="178"/>
      <c r="M45" s="178"/>
      <c r="N45" s="178"/>
      <c r="O45" s="178"/>
      <c r="P45" s="178"/>
      <c r="Q45" s="178"/>
      <c r="R45" s="178"/>
      <c r="S45" s="178"/>
      <c r="T45" s="178"/>
    </row>
    <row r="46" spans="1:20" s="186" customFormat="1" ht="31.5" customHeight="1">
      <c r="A46" s="226"/>
      <c r="B46" s="226"/>
      <c r="C46" s="227"/>
      <c r="D46" s="227"/>
      <c r="E46" s="227"/>
      <c r="F46" s="227"/>
      <c r="G46" s="226"/>
      <c r="I46" s="178"/>
      <c r="J46" s="178"/>
      <c r="K46" s="178"/>
      <c r="L46" s="178"/>
      <c r="M46" s="178"/>
      <c r="N46" s="178"/>
      <c r="O46" s="178"/>
      <c r="P46" s="178"/>
      <c r="Q46" s="178"/>
      <c r="R46" s="178"/>
      <c r="S46" s="178"/>
      <c r="T46" s="178"/>
    </row>
    <row r="47" spans="1:20" s="186" customFormat="1" ht="31.5" customHeight="1">
      <c r="A47" s="228"/>
      <c r="B47" s="229"/>
      <c r="C47" s="230"/>
      <c r="D47" s="230"/>
      <c r="E47" s="230"/>
      <c r="F47" s="230"/>
      <c r="G47" s="230"/>
      <c r="I47" s="178"/>
      <c r="J47" s="178"/>
      <c r="K47" s="178"/>
      <c r="L47" s="178"/>
      <c r="M47" s="178"/>
      <c r="N47" s="178"/>
      <c r="O47" s="178"/>
      <c r="P47" s="178"/>
      <c r="Q47" s="178"/>
      <c r="R47" s="178"/>
      <c r="S47" s="178"/>
      <c r="T47" s="178"/>
    </row>
    <row r="48" spans="1:7" ht="18" customHeight="1">
      <c r="A48" s="231"/>
      <c r="B48" s="232"/>
      <c r="C48" s="233"/>
      <c r="D48" s="233"/>
      <c r="E48" s="233"/>
      <c r="F48" s="233"/>
      <c r="G48" s="230"/>
    </row>
    <row r="49" spans="1:7" ht="18.75">
      <c r="A49" s="234"/>
      <c r="B49" s="235"/>
      <c r="C49" s="233"/>
      <c r="D49" s="233"/>
      <c r="E49" s="233"/>
      <c r="F49" s="233"/>
      <c r="G49" s="230"/>
    </row>
    <row r="50" spans="1:7" ht="18.75">
      <c r="A50" s="234"/>
      <c r="B50" s="235"/>
      <c r="C50" s="236"/>
      <c r="D50" s="236"/>
      <c r="E50" s="236"/>
      <c r="F50" s="236"/>
      <c r="G50" s="237"/>
    </row>
    <row r="66" spans="1:2" ht="18.75">
      <c r="A66" s="241"/>
      <c r="B66" s="242"/>
    </row>
  </sheetData>
  <sheetProtection/>
  <mergeCells count="120">
    <mergeCell ref="E35:F35"/>
    <mergeCell ref="E31:F31"/>
    <mergeCell ref="E32:F32"/>
    <mergeCell ref="L19:N19"/>
    <mergeCell ref="E30:F30"/>
    <mergeCell ref="E23:F23"/>
    <mergeCell ref="E33:F33"/>
    <mergeCell ref="E34:F34"/>
    <mergeCell ref="E19:F19"/>
    <mergeCell ref="K34:N34"/>
    <mergeCell ref="C12:D12"/>
    <mergeCell ref="C13:D13"/>
    <mergeCell ref="E36:F36"/>
    <mergeCell ref="E12:F12"/>
    <mergeCell ref="E13:F13"/>
    <mergeCell ref="E14:F14"/>
    <mergeCell ref="E20:F20"/>
    <mergeCell ref="E22:F22"/>
    <mergeCell ref="E21:F21"/>
    <mergeCell ref="E26:F26"/>
    <mergeCell ref="C9:D9"/>
    <mergeCell ref="E9:F9"/>
    <mergeCell ref="E10:F10"/>
    <mergeCell ref="C10:D10"/>
    <mergeCell ref="C14:D14"/>
    <mergeCell ref="C19:D19"/>
    <mergeCell ref="C17:D17"/>
    <mergeCell ref="C16:D16"/>
    <mergeCell ref="E16:F16"/>
    <mergeCell ref="E17:F17"/>
    <mergeCell ref="C22:D22"/>
    <mergeCell ref="C20:D20"/>
    <mergeCell ref="C21:D21"/>
    <mergeCell ref="C26:D26"/>
    <mergeCell ref="C27:D27"/>
    <mergeCell ref="E28:F28"/>
    <mergeCell ref="C28:D28"/>
    <mergeCell ref="E27:F27"/>
    <mergeCell ref="C30:D30"/>
    <mergeCell ref="C31:D31"/>
    <mergeCell ref="C32:D32"/>
    <mergeCell ref="C33:D33"/>
    <mergeCell ref="C34:D34"/>
    <mergeCell ref="C35:D35"/>
    <mergeCell ref="C36:D36"/>
    <mergeCell ref="C37:D37"/>
    <mergeCell ref="C38:D38"/>
    <mergeCell ref="E37:F37"/>
    <mergeCell ref="E38:F38"/>
    <mergeCell ref="C39:D39"/>
    <mergeCell ref="E39:F39"/>
    <mergeCell ref="E43:F43"/>
    <mergeCell ref="C43:D43"/>
    <mergeCell ref="E41:F41"/>
    <mergeCell ref="C41:D41"/>
    <mergeCell ref="B1:G1"/>
    <mergeCell ref="C8:D8"/>
    <mergeCell ref="C7:D7"/>
    <mergeCell ref="E7:F7"/>
    <mergeCell ref="E8:F8"/>
    <mergeCell ref="B3:G3"/>
    <mergeCell ref="B2:G2"/>
    <mergeCell ref="C6:D6"/>
    <mergeCell ref="E6:F6"/>
    <mergeCell ref="C23:D23"/>
    <mergeCell ref="A6:A7"/>
    <mergeCell ref="M9:N9"/>
    <mergeCell ref="M10:N10"/>
    <mergeCell ref="I11:T11"/>
    <mergeCell ref="M12:N12"/>
    <mergeCell ref="P12:Q12"/>
    <mergeCell ref="M13:N13"/>
    <mergeCell ref="P13:Q13"/>
    <mergeCell ref="I14:T14"/>
    <mergeCell ref="M15:N15"/>
    <mergeCell ref="P15:Q15"/>
    <mergeCell ref="K16:L16"/>
    <mergeCell ref="M16:N16"/>
    <mergeCell ref="P16:Q16"/>
    <mergeCell ref="I17:T17"/>
    <mergeCell ref="M22:N22"/>
    <mergeCell ref="P22:Q22"/>
    <mergeCell ref="K23:L23"/>
    <mergeCell ref="I18:O18"/>
    <mergeCell ref="P18:Q18"/>
    <mergeCell ref="P19:Q19"/>
    <mergeCell ref="L20:M20"/>
    <mergeCell ref="M37:N37"/>
    <mergeCell ref="P37:Q37"/>
    <mergeCell ref="M40:N40"/>
    <mergeCell ref="P40:Q40"/>
    <mergeCell ref="M39:N39"/>
    <mergeCell ref="P39:Q39"/>
    <mergeCell ref="I1:T1"/>
    <mergeCell ref="I3:T3"/>
    <mergeCell ref="P36:Q36"/>
    <mergeCell ref="M36:N36"/>
    <mergeCell ref="M28:N28"/>
    <mergeCell ref="P28:Q28"/>
    <mergeCell ref="K31:N31"/>
    <mergeCell ref="P31:Q31"/>
    <mergeCell ref="I27:T27"/>
    <mergeCell ref="I21:T21"/>
    <mergeCell ref="M6:O6"/>
    <mergeCell ref="P6:Q6"/>
    <mergeCell ref="I7:T7"/>
    <mergeCell ref="M8:N8"/>
    <mergeCell ref="P8:Q8"/>
    <mergeCell ref="P5:Q5"/>
    <mergeCell ref="M5:O5"/>
    <mergeCell ref="P34:Q34"/>
    <mergeCell ref="P33:Q33"/>
    <mergeCell ref="M23:N23"/>
    <mergeCell ref="P23:Q23"/>
    <mergeCell ref="I24:T24"/>
    <mergeCell ref="M25:N25"/>
    <mergeCell ref="P25:Q25"/>
    <mergeCell ref="K32:N32"/>
    <mergeCell ref="P32:Q32"/>
    <mergeCell ref="K33:N33"/>
  </mergeCells>
  <conditionalFormatting sqref="S40:T40 S37:T37 S34:T34 S9:T10 S29:T29 S26:T26 S23:T23 S20:T20 S16:T16 S13:T13 S6:T6 S32:T32">
    <cfRule type="cellIs" priority="1" dxfId="1" operator="equal" stopIfTrue="1">
      <formula>"NO"</formula>
    </cfRule>
    <cfRule type="cellIs" priority="2" dxfId="0" operator="equal" stopIfTrue="1">
      <formula>""</formula>
    </cfRule>
  </conditionalFormatting>
  <dataValidations count="3">
    <dataValidation type="list" allowBlank="1" showInputMessage="1" showErrorMessage="1" sqref="E30">
      <formula1>"A,B,C,D"</formula1>
    </dataValidation>
    <dataValidation type="list" allowBlank="1" showInputMessage="1" showErrorMessage="1" sqref="E19">
      <formula1>"１級,２級,３級,４級"</formula1>
    </dataValidation>
    <dataValidation type="list" allowBlank="1" showInputMessage="1" showErrorMessage="1" sqref="E6:F6">
      <formula1>"１級,２級,３級,４*級,４級"</formula1>
    </dataValidation>
  </dataValidations>
  <printOptions horizontalCentered="1"/>
  <pageMargins left="0.7874015748031497" right="0.7874015748031497" top="0.5118110236220472" bottom="0.5118110236220472" header="0.5118110236220472" footer="0.5118110236220472"/>
  <pageSetup horizontalDpi="600" verticalDpi="600" orientation="portrait" paperSize="9" scale="52" r:id="rId1"/>
  <rowBreaks count="1" manualBreakCount="1">
    <brk id="44" max="19" man="1"/>
  </rowBreaks>
  <colBreaks count="1" manualBreakCount="1">
    <brk id="7" max="43" man="1"/>
  </colBreaks>
</worksheet>
</file>

<file path=xl/worksheets/sheet2.xml><?xml version="1.0" encoding="utf-8"?>
<worksheet xmlns="http://schemas.openxmlformats.org/spreadsheetml/2006/main" xmlns:r="http://schemas.openxmlformats.org/officeDocument/2006/relationships">
  <sheetPr codeName="Tabelle3"/>
  <dimension ref="A1:K84"/>
  <sheetViews>
    <sheetView showGridLines="0" view="pageBreakPreview" zoomScaleSheetLayoutView="100" zoomScalePageLayoutView="0" workbookViewId="0" topLeftCell="A1">
      <selection activeCell="E24" sqref="E2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102</v>
      </c>
      <c r="B4" s="48"/>
      <c r="C4" s="48"/>
      <c r="D4" s="48"/>
      <c r="E4" s="48"/>
      <c r="F4" s="48"/>
      <c r="G4" s="48"/>
      <c r="H4" s="48"/>
      <c r="I4" s="58"/>
    </row>
    <row r="5" spans="1:9" ht="3.75" customHeight="1">
      <c r="A5" s="48"/>
      <c r="B5" s="48"/>
      <c r="C5" s="48"/>
      <c r="D5" s="48"/>
      <c r="E5" s="48"/>
      <c r="F5" s="48"/>
      <c r="G5" s="48"/>
      <c r="H5" s="48"/>
      <c r="I5" s="58"/>
    </row>
    <row r="6" spans="1:9" ht="12.75">
      <c r="A6" s="137" t="s">
        <v>86</v>
      </c>
      <c r="B6" s="48"/>
      <c r="C6" s="59"/>
      <c r="D6" s="59"/>
      <c r="E6" s="59"/>
      <c r="F6" s="59"/>
      <c r="G6" s="59"/>
      <c r="H6" s="59"/>
      <c r="I6" s="60" t="s">
        <v>17</v>
      </c>
    </row>
    <row r="7" spans="1:9" ht="13.5" customHeight="1" hidden="1">
      <c r="A7" s="117"/>
      <c r="B7" s="121">
        <f>IF(B9="",5,IF('単目量'!E30="A",1,IF('単目量'!E30="B",2,IF('単目量'!E30="C",3,IF('単目量'!E30="D",4,0)))))</f>
        <v>3</v>
      </c>
      <c r="C7" s="121"/>
      <c r="D7" s="121">
        <f>IF(D9="",5,IF('単目量'!E19="I",1,IF('単目量'!E19="II",2,IF('単目量'!E19="III",3,IF('単目量'!E19="IIII",4,0)))))</f>
        <v>0</v>
      </c>
      <c r="E7" s="121"/>
      <c r="F7" s="121"/>
      <c r="G7" s="121">
        <f>IF(G9="",0,IF('単目量'!E6="I",1,IF('単目量'!E6="II",2,IF('単目量'!E6="III",3,IF('単目量'!E6="IIII",4,0)))))</f>
        <v>0</v>
      </c>
      <c r="H7" s="115"/>
      <c r="I7" s="118"/>
    </row>
    <row r="8" spans="1:9" ht="12.75" customHeight="1">
      <c r="A8" s="48"/>
      <c r="B8" s="62" t="s">
        <v>72</v>
      </c>
      <c r="C8" s="62" t="s">
        <v>8</v>
      </c>
      <c r="D8" s="62" t="s">
        <v>73</v>
      </c>
      <c r="E8" s="63" t="s">
        <v>71</v>
      </c>
      <c r="F8" s="64"/>
      <c r="G8" s="65" t="s">
        <v>74</v>
      </c>
      <c r="H8" s="48"/>
      <c r="I8" s="61"/>
    </row>
    <row r="9" spans="1:9" ht="12.75" customHeight="1">
      <c r="A9" s="48"/>
      <c r="B9" s="66" t="str">
        <f>IF('単目量'!$E$30="","",'単目量'!$E$30)</f>
        <v>C</v>
      </c>
      <c r="C9" s="62" t="s">
        <v>8</v>
      </c>
      <c r="D9" s="66" t="str">
        <f>IF('単目量'!$E$19="","",'単目量'!$E$19)</f>
        <v>３級</v>
      </c>
      <c r="E9" s="63" t="s">
        <v>71</v>
      </c>
      <c r="F9" s="67"/>
      <c r="G9" s="66" t="str">
        <f>IF('単目量'!$E$6="","",'単目量'!$E$6)</f>
        <v>３級</v>
      </c>
      <c r="H9" s="48"/>
      <c r="I9" s="68" t="str">
        <f>IF($G$7=0,"NO",IF($B$7&gt;$G$7,"NO",IF($D$7&gt;$G$7,"NO","YES")))</f>
        <v>NO</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f>IF('単目量'!E40="","",'単目量'!E40)</f>
        <v>-10</v>
      </c>
      <c r="D14" s="71" t="s">
        <v>8</v>
      </c>
      <c r="E14" s="73">
        <f>IF('単目量'!E25="","",'単目量'!E25)</f>
        <v>-10</v>
      </c>
      <c r="F14" s="74" t="s">
        <v>14</v>
      </c>
      <c r="G14" s="73">
        <f>IF('単目量'!E15="","",'単目量'!E15)</f>
        <v>-10</v>
      </c>
      <c r="H14" s="59"/>
      <c r="I14" s="68" t="str">
        <f>IF(OR($G$14="",$G$14&gt;100),"NO",IF($C$14&gt;$G$14,"NO",IF($E$14&gt;$G$14,"NO","YES")))</f>
        <v>YES</v>
      </c>
    </row>
    <row r="15" spans="1:9" ht="12.75" customHeight="1">
      <c r="A15" s="48"/>
      <c r="B15" s="72" t="s">
        <v>24</v>
      </c>
      <c r="C15" s="73">
        <f>IF('単目量'!F40="","",'単目量'!F40)</f>
        <v>40</v>
      </c>
      <c r="D15" s="71" t="s">
        <v>8</v>
      </c>
      <c r="E15" s="73">
        <f>IF('単目量'!F25="","",'単目量'!F25)</f>
        <v>40</v>
      </c>
      <c r="F15" s="74" t="s">
        <v>15</v>
      </c>
      <c r="G15" s="73">
        <f>IF('単目量'!F15="","",'単目量'!F15)</f>
        <v>40</v>
      </c>
      <c r="H15" s="75"/>
      <c r="I15" s="68" t="str">
        <f>IF(OR($C15&gt;150,$E$15&gt;100),"NO",IF($G$15="","NO",IF($C$15&lt;$G$15,"NO",IF($E$15&lt;$G$15,"NO","YES"))))</f>
        <v>YES</v>
      </c>
    </row>
    <row r="16" spans="1:9" ht="7.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f>IF('単目量'!$E$43="","",'単目量'!$E$43^2)</f>
        <v>0.25</v>
      </c>
      <c r="C20" s="71" t="s">
        <v>9</v>
      </c>
      <c r="D20" s="119">
        <f>IF('単目量'!$E$26="","",'単目量'!$E$26^2)</f>
        <v>0</v>
      </c>
      <c r="E20" s="71" t="s">
        <v>9</v>
      </c>
      <c r="F20" s="119">
        <f>IF('単目量'!$E$41="","",'単目量'!$E$41^2)</f>
        <v>0.6400000000000001</v>
      </c>
      <c r="G20" s="74" t="s">
        <v>28</v>
      </c>
      <c r="H20" s="59"/>
      <c r="I20" s="68" t="str">
        <f>IF(OR($F$20="",$F$20&gt;(0.8)^2,$F$20&lt;(0.3)^2,$D$20="",$D$20&gt;(0.8)^2,$D$20&lt;(0.3)^2,$B$20=""),"NO",IF($B$20+$D$20+$F$20&gt;1,"NO","YES"))</f>
        <v>NO</v>
      </c>
    </row>
    <row r="21" spans="1:9" ht="7.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thickBot="1">
      <c r="A25" s="48"/>
      <c r="B25" s="110" t="s">
        <v>22</v>
      </c>
      <c r="C25" s="111"/>
      <c r="D25" s="81"/>
      <c r="E25" s="82">
        <f>'単目量'!E20</f>
        <v>3000</v>
      </c>
      <c r="F25" s="83" t="s">
        <v>15</v>
      </c>
      <c r="G25" s="82" t="e">
        <f>IF(単目量!#REF!=0,0,単目量!#REF!/単目量!#REF!)</f>
        <v>#REF!</v>
      </c>
      <c r="H25" s="78"/>
      <c r="I25" s="84"/>
    </row>
    <row r="26" spans="1:9" ht="12.75" customHeight="1">
      <c r="A26" s="48"/>
      <c r="B26" s="141" t="s">
        <v>107</v>
      </c>
      <c r="C26" s="86"/>
      <c r="D26" s="87" t="s">
        <v>18</v>
      </c>
      <c r="E26" s="119">
        <f>IF('単目量'!$E$20="","",'単目量'!$E$20)</f>
        <v>3000</v>
      </c>
      <c r="F26" s="74" t="s">
        <v>15</v>
      </c>
      <c r="G26" s="120" t="e">
        <f>IF(単目量!#REF!="","",IF(単目量!#REF!=0,"",単目量!#REF!/単目量!#REF!))</f>
        <v>#REF!</v>
      </c>
      <c r="H26" s="78"/>
      <c r="I26" s="68" t="e">
        <f>IF(OR($E$26="",$E$26&gt;100000000,$G$26=""),"NO",IF($G$26&gt;$E$26,"NO","YES"))</f>
        <v>#REF!</v>
      </c>
    </row>
    <row r="27" spans="1:9" ht="12.75" customHeight="1">
      <c r="A27" s="48"/>
      <c r="B27" s="88"/>
      <c r="C27" s="89"/>
      <c r="D27" s="87" t="s">
        <v>19</v>
      </c>
      <c r="E27" s="119">
        <f>IF('単目量'!$E$20="","",'単目量'!$E$20)</f>
        <v>3000</v>
      </c>
      <c r="F27" s="74" t="s">
        <v>15</v>
      </c>
      <c r="G27" s="120" t="e">
        <f>IF(単目量!#REF!="","",IF(単目量!#REF!=0,"",単目量!#REF!/単目量!#REF!))</f>
        <v>#REF!</v>
      </c>
      <c r="H27" s="78"/>
      <c r="I27" s="68" t="e">
        <f>IF(OR($E$27="",$E$27&gt;100000000,$G$27=""),"NO",IF($G$27&gt;$E$27,"NO","YES"))</f>
        <v>#REF!</v>
      </c>
    </row>
    <row r="28" spans="1:9" ht="12.75" customHeight="1" hidden="1">
      <c r="A28" s="48"/>
      <c r="B28" s="88"/>
      <c r="C28" s="76"/>
      <c r="D28" s="87" t="s">
        <v>20</v>
      </c>
      <c r="E28" s="82">
        <v>0</v>
      </c>
      <c r="F28" s="74" t="s">
        <v>15</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ht="1.5" customHeight="1">
      <c r="A32" s="48"/>
      <c r="B32" s="59"/>
      <c r="C32" s="59"/>
      <c r="D32" s="59"/>
      <c r="E32" s="59"/>
      <c r="F32" s="59"/>
      <c r="G32" s="60"/>
      <c r="H32" s="59"/>
      <c r="I32" s="69"/>
      <c r="K32" s="124"/>
    </row>
    <row r="33" spans="1:11" ht="12.75" customHeight="1">
      <c r="A33" s="345" t="s">
        <v>85</v>
      </c>
      <c r="B33" s="346"/>
      <c r="C33" s="346"/>
      <c r="D33" s="346"/>
      <c r="E33" s="346"/>
      <c r="F33" s="346"/>
      <c r="G33" s="93" t="e">
        <f>IF('単目量'!$E$11="","DL wanted",IF('単目量'!$E$13="","NUD wanted",IF('単目量'!$E$12="","IZRS wanted",IF(単目量!#REF!="","",IF(単目量!#REF!=0,"",(単目量!#REF!+'単目量'!$E$12+'単目量'!$E$13+'単目量'!$E$11+'単目量'!$E$14)/単目量!#REF!)))))</f>
        <v>#REF!</v>
      </c>
      <c r="H33" s="59"/>
      <c r="I33" s="69"/>
      <c r="K33" s="123" t="e">
        <f>IF(OR('単目量'!$E$11="",'単目量'!$E$13="",'単目量'!$E$12=""),"NO",IF(単目量!#REF!="","",IF(単目量!#REF!=0,"",(単目量!#REF!+'単目量'!$E$12+'単目量'!$E$13+'単目量'!$E$11)/単目量!#REF!)))</f>
        <v>#REF!</v>
      </c>
    </row>
    <row r="34" spans="1:9" ht="12.75" customHeight="1">
      <c r="A34" s="48"/>
      <c r="B34" s="59"/>
      <c r="C34" s="59"/>
      <c r="D34" s="94" t="s">
        <v>54</v>
      </c>
      <c r="E34" s="95"/>
      <c r="F34" s="74" t="s">
        <v>14</v>
      </c>
      <c r="G34" s="72" t="s">
        <v>31</v>
      </c>
      <c r="H34" s="78"/>
      <c r="I34" s="69"/>
    </row>
    <row r="35" spans="1:9" ht="12.75" customHeight="1">
      <c r="A35" s="48"/>
      <c r="B35" s="59"/>
      <c r="C35" s="59"/>
      <c r="D35" s="343" t="e">
        <f>IF('単目量'!$E$10="","R wanted",IF($G$33="","Q wanted",IF('単目量'!$E$9="","Anzahl  N  wanted",($G$33*単目量!#REF!*'単目量'!$E$10)/'単目量'!$E$9)))</f>
        <v>#REF!</v>
      </c>
      <c r="E35" s="344"/>
      <c r="F35" s="74" t="s">
        <v>14</v>
      </c>
      <c r="G35" s="73">
        <f>IF('単目量'!$E$31="","",'単目量'!$E$31)</f>
        <v>30000</v>
      </c>
      <c r="H35" s="78"/>
      <c r="I35" s="68" t="e">
        <f>IF(OR($K$33="NO",$G$33="",$G$35="",$G$35&gt;10000000),"NO",IF($D$35&gt;$G$35,"NO","YES"))</f>
        <v>#REF!</v>
      </c>
    </row>
    <row r="36" spans="1:9" ht="7.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thickBot="1">
      <c r="A40" s="48"/>
      <c r="B40" s="96" t="s">
        <v>22</v>
      </c>
      <c r="C40" s="97"/>
      <c r="D40" s="81"/>
      <c r="E40" s="99">
        <f>'単目量'!E34</f>
        <v>3000</v>
      </c>
      <c r="F40" s="74" t="s">
        <v>15</v>
      </c>
      <c r="G40" s="99" t="e">
        <f>IF(単目量!#REF!=0,0,単目量!#REF!/単目量!#REF!)</f>
        <v>#REF!</v>
      </c>
      <c r="H40" s="78"/>
      <c r="I40" s="84"/>
    </row>
    <row r="41" spans="1:9" ht="12.75" customHeight="1">
      <c r="A41" s="48"/>
      <c r="B41" s="141" t="s">
        <v>107</v>
      </c>
      <c r="C41" s="86"/>
      <c r="D41" s="87" t="s">
        <v>18</v>
      </c>
      <c r="E41" s="119">
        <f>IF('単目量'!$E$34="","",'単目量'!$E$34)</f>
        <v>3000</v>
      </c>
      <c r="F41" s="74" t="s">
        <v>15</v>
      </c>
      <c r="G41" s="66" t="e">
        <f>IF(単目量!#REF!="","",IF(単目量!#REF!=0,"",単目量!#REF!/単目量!#REF!))</f>
        <v>#REF!</v>
      </c>
      <c r="H41" s="78"/>
      <c r="I41" s="68" t="e">
        <f>IF(OR($G$41=0,$G$41="",$E$41="",$E$41&gt;100000000),"NO",IF($G$41&gt;$E$41,"NO","YES"))</f>
        <v>#REF!</v>
      </c>
    </row>
    <row r="42" spans="1:9" ht="12.75" customHeight="1">
      <c r="A42" s="48"/>
      <c r="B42" s="88"/>
      <c r="C42" s="76"/>
      <c r="D42" s="87" t="s">
        <v>19</v>
      </c>
      <c r="E42" s="119">
        <f>IF('単目量'!$E$34="","",'単目量'!$E$34)</f>
        <v>3000</v>
      </c>
      <c r="F42" s="74" t="s">
        <v>15</v>
      </c>
      <c r="G42" s="66" t="e">
        <f>IF(単目量!#REF!="","",IF(単目量!#REF!=0,"",単目量!#REF!/単目量!#REF!))</f>
        <v>#REF!</v>
      </c>
      <c r="H42" s="78"/>
      <c r="I42" s="68" t="e">
        <f>IF(OR($G$42=0,$G$42="",$E$42="",$E$42&gt;100000000),"NO",IF($G$42&gt;$E$42,"NO","YES"))</f>
        <v>#REF!</v>
      </c>
    </row>
    <row r="43" spans="1:9" ht="12.75" customHeight="1" hidden="1">
      <c r="A43" s="48"/>
      <c r="B43" s="88"/>
      <c r="C43" s="76"/>
      <c r="D43" s="112" t="s">
        <v>20</v>
      </c>
      <c r="E43" s="82">
        <v>0</v>
      </c>
      <c r="F43" s="83" t="s">
        <v>15</v>
      </c>
      <c r="G43" s="82">
        <v>0</v>
      </c>
      <c r="H43" s="78"/>
      <c r="I43" s="84"/>
    </row>
    <row r="44" spans="1:9" ht="7.5" customHeight="1">
      <c r="A44" s="48"/>
      <c r="B44" s="59"/>
      <c r="C44" s="59"/>
      <c r="D44" s="59"/>
      <c r="E44" s="90"/>
      <c r="F44" s="91"/>
      <c r="G44" s="90"/>
      <c r="H44" s="78"/>
      <c r="I44" s="92"/>
    </row>
    <row r="45" spans="1:9" ht="15.75" hidden="1">
      <c r="A45" s="48" t="s">
        <v>21</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41</v>
      </c>
      <c r="E47" s="95"/>
      <c r="F47" s="74" t="s">
        <v>15</v>
      </c>
      <c r="G47" s="72" t="s">
        <v>33</v>
      </c>
      <c r="H47" s="78"/>
      <c r="I47" s="92"/>
    </row>
    <row r="48" spans="1:9" ht="12.75" customHeight="1" hidden="1">
      <c r="A48" s="48"/>
      <c r="B48" s="59"/>
      <c r="C48" s="59"/>
      <c r="D48" s="350">
        <v>0</v>
      </c>
      <c r="E48" s="351"/>
      <c r="F48" s="74" t="s">
        <v>15</v>
      </c>
      <c r="G48" s="62">
        <f>IF('単目量'!F15=0,0,'単目量'!E15/'単目量'!F15)</f>
        <v>-0.25</v>
      </c>
      <c r="H48" s="78"/>
      <c r="I48" s="92"/>
    </row>
    <row r="49" spans="1:9" ht="7.5" customHeight="1">
      <c r="A49" s="48"/>
      <c r="B49" s="59"/>
      <c r="C49" s="59"/>
      <c r="D49" s="49"/>
      <c r="E49" s="100"/>
      <c r="F49" s="91"/>
      <c r="G49" s="90"/>
      <c r="H49" s="78"/>
      <c r="I49" s="92"/>
    </row>
    <row r="50" spans="1:9" ht="12.75">
      <c r="A50" s="138" t="s">
        <v>87</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51</v>
      </c>
      <c r="E52" s="95"/>
      <c r="F52" s="74" t="s">
        <v>15</v>
      </c>
      <c r="G52" s="72" t="s">
        <v>53</v>
      </c>
      <c r="H52" s="78"/>
      <c r="I52" s="92"/>
    </row>
    <row r="53" spans="1:9" ht="12.75">
      <c r="A53" s="48"/>
      <c r="B53" s="59"/>
      <c r="C53" s="59"/>
      <c r="D53" s="343">
        <f>IF('単目量'!$E$38&lt;&gt;0,'単目量'!$E$38,(IF('単目量'!$E$37&lt;&gt;0,'単目量'!$E$31/(2*'単目量'!$E$37),'単目量'!$E$34)))</f>
        <v>3000</v>
      </c>
      <c r="E53" s="344"/>
      <c r="F53" s="74" t="s">
        <v>15</v>
      </c>
      <c r="G53" s="66" t="e">
        <f>IF(単目量!#REF!="","",IF(単目量!#REF!=0,"",単目量!#REF!/単目量!#REF!*0.4))</f>
        <v>#REF!</v>
      </c>
      <c r="H53" s="59"/>
      <c r="I53" s="68" t="e">
        <f>IF($D$53&gt;10000000,"NO",IF($G$53="","NO",IF($G$53&gt;$D$53,"NO","YES")))</f>
        <v>#REF!</v>
      </c>
    </row>
    <row r="54" spans="1:10" ht="7.5" customHeight="1">
      <c r="A54" s="48"/>
      <c r="B54" s="59"/>
      <c r="C54" s="59"/>
      <c r="D54" s="49"/>
      <c r="E54" s="100"/>
      <c r="F54" s="91"/>
      <c r="G54" s="90"/>
      <c r="H54" s="59"/>
      <c r="I54" s="69"/>
      <c r="J54" s="20"/>
    </row>
    <row r="55" spans="1:10" ht="12.75">
      <c r="A55" s="137" t="s">
        <v>76</v>
      </c>
      <c r="B55" s="48"/>
      <c r="C55" s="59"/>
      <c r="D55" s="59"/>
      <c r="E55" s="59"/>
      <c r="F55" s="59"/>
      <c r="G55" s="59"/>
      <c r="H55" s="59"/>
      <c r="I55" s="69"/>
      <c r="J55" s="20"/>
    </row>
    <row r="56" spans="1:10" ht="1.5" customHeight="1">
      <c r="A56" s="138"/>
      <c r="B56" s="59"/>
      <c r="C56" s="59"/>
      <c r="D56" s="59"/>
      <c r="E56" s="59"/>
      <c r="F56" s="59"/>
      <c r="G56" s="59"/>
      <c r="H56" s="59"/>
      <c r="I56" s="69"/>
      <c r="J56" s="20"/>
    </row>
    <row r="57" spans="1:10" ht="12.75" customHeight="1">
      <c r="A57" s="138"/>
      <c r="B57" s="59"/>
      <c r="C57" s="59"/>
      <c r="D57" s="59"/>
      <c r="E57" s="72" t="s">
        <v>16</v>
      </c>
      <c r="F57" s="74" t="s">
        <v>15</v>
      </c>
      <c r="G57" s="72" t="s">
        <v>35</v>
      </c>
      <c r="H57" s="78"/>
      <c r="I57" s="69"/>
      <c r="J57" s="20"/>
    </row>
    <row r="58" spans="1:9" ht="12.75" customHeight="1">
      <c r="A58" s="138"/>
      <c r="B58" s="59"/>
      <c r="C58" s="59"/>
      <c r="D58" s="59"/>
      <c r="E58" s="73">
        <f>IF('単目量'!$E$9="","",IF('単目量'!$E$9=0,"",'単目量'!$E$11*'単目量'!$E$10/'単目量'!$E$9))</f>
        <v>3000</v>
      </c>
      <c r="F58" s="74" t="s">
        <v>15</v>
      </c>
      <c r="G58" s="73">
        <f>IF('単目量'!$E$32="","",'単目量'!$E$32)</f>
        <v>2000</v>
      </c>
      <c r="H58" s="78"/>
      <c r="I58" s="68" t="str">
        <f>IF(OR($E$58="",$G$58=""),"NO",IF($G$58&gt;$E$58,"NO","YES"))</f>
        <v>YES</v>
      </c>
    </row>
    <row r="59" spans="1:9" ht="7.5" customHeight="1">
      <c r="A59" s="13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IF('単目量'!$E$9="","",IF('単目量'!$E$9=0,"",単目量!#REF!*'単目量'!$E$10/'単目量'!$E$9^0.5))</f>
        <v>#REF!</v>
      </c>
      <c r="F63" s="74" t="s">
        <v>15</v>
      </c>
      <c r="G63" s="119">
        <f>IF('単目量'!$E$31="","",IF('単目量'!$E$36&lt;&gt;0,'単目量'!$E$31/'単目量'!$E$36,IF('単目量'!$E$35&lt;&gt;0,'単目量'!$E$35,IF('単目量'!$E$34=0,"",'単目量'!$E$31/'単目量'!$E$34))))</f>
        <v>5</v>
      </c>
      <c r="H63" s="78"/>
      <c r="I63" s="68" t="e">
        <f>IF(OR($E$63="",$G$63=""),"NO",IF($G$63&gt;$E$63,"NO","YES"))</f>
        <v>#REF!</v>
      </c>
    </row>
    <row r="64" spans="1:9" ht="7.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52" t="s">
        <v>82</v>
      </c>
      <c r="E67" s="348"/>
      <c r="F67" s="74" t="s">
        <v>15</v>
      </c>
      <c r="G67" s="72" t="s">
        <v>67</v>
      </c>
      <c r="H67" s="78"/>
      <c r="I67" s="103"/>
    </row>
    <row r="68" spans="1:9" ht="12.75" customHeight="1">
      <c r="A68" s="48"/>
      <c r="B68" s="59"/>
      <c r="C68" s="140" t="s">
        <v>81</v>
      </c>
      <c r="D68" s="353">
        <f>IF('単目量'!$E$33="","",IF(OR('単目量'!$E$31=0,'単目量'!$E$9=0),"",'単目量'!$E$33*'単目量'!$E$21*'単目量'!$E$10*'単目量'!$E$11/('単目量'!$E$31*'単目量'!$E$9)))</f>
        <v>0</v>
      </c>
      <c r="E68" s="354"/>
      <c r="F68" s="74" t="s">
        <v>15</v>
      </c>
      <c r="G68" s="73">
        <f>IF('単目量'!$E$22="","",'単目量'!$E$22)</f>
      </c>
      <c r="H68" s="78"/>
      <c r="I68" s="68" t="str">
        <f>IF(OR($D$68&gt;1000000,$G$68="",$D$68=""),"NO",IF($G$68&gt;$D$68,"NO","YES"))</f>
        <v>NO</v>
      </c>
    </row>
    <row r="69" spans="1:9" ht="3.75" customHeight="1">
      <c r="A69" s="48"/>
      <c r="B69" s="59"/>
      <c r="C69" s="134"/>
      <c r="D69" s="132"/>
      <c r="E69" s="133"/>
      <c r="F69" s="113"/>
      <c r="G69" s="114"/>
      <c r="H69" s="78"/>
      <c r="I69" s="131"/>
    </row>
    <row r="70" spans="1:9" ht="12.75" customHeight="1">
      <c r="A70" s="48"/>
      <c r="B70" s="59"/>
      <c r="C70" s="139" t="s">
        <v>88</v>
      </c>
      <c r="D70" s="347" t="s">
        <v>58</v>
      </c>
      <c r="E70" s="348"/>
      <c r="F70" s="74" t="s">
        <v>15</v>
      </c>
      <c r="G70" s="104" t="s">
        <v>37</v>
      </c>
      <c r="H70" s="78"/>
      <c r="I70" s="103"/>
    </row>
    <row r="71" spans="1:9" ht="12.75" customHeight="1">
      <c r="A71" s="48"/>
      <c r="B71" s="59"/>
      <c r="C71" s="135"/>
      <c r="D71" s="349" t="e">
        <f>IF('単目量'!$E$33="","",IF(OR('単目量'!$E$31=0,'単目量'!$E$9=0),"",'単目量'!$E$33*1000*'単目量'!$E$21*'単目量'!$E$10*単目量!#REF!/('単目量'!$E$31*'単目量'!$E$9)))</f>
        <v>#REF!</v>
      </c>
      <c r="E71" s="348"/>
      <c r="F71" s="74" t="s">
        <v>15</v>
      </c>
      <c r="G71" s="73">
        <f>'単目量'!$E$23</f>
        <v>0</v>
      </c>
      <c r="H71" s="78"/>
      <c r="I71" s="68" t="e">
        <f>IF(OR($D$71&gt;1000000,$G$71="",$D$71=""),"NO",IF($G$71&gt;$D$71,"NO","YES"))</f>
        <v>#REF!</v>
      </c>
    </row>
    <row r="72" spans="1:9" ht="7.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38</v>
      </c>
      <c r="D75" s="74" t="s">
        <v>14</v>
      </c>
      <c r="E75" s="72" t="s">
        <v>39</v>
      </c>
      <c r="F75" s="74" t="s">
        <v>14</v>
      </c>
      <c r="G75" s="72" t="s">
        <v>40</v>
      </c>
      <c r="H75" s="78"/>
      <c r="I75" s="103"/>
    </row>
    <row r="76" spans="1:9" ht="12.75" customHeight="1">
      <c r="A76" s="138"/>
      <c r="B76" s="59"/>
      <c r="C76" s="73" t="str">
        <f>IF('単目量'!$E$24="","wanted",'単目量'!$E$24)</f>
        <v>wanted</v>
      </c>
      <c r="D76" s="74" t="s">
        <v>14</v>
      </c>
      <c r="E76" s="73" t="str">
        <f>IF('単目量'!E39="","R LC  wanted",IF('単目量'!$E$9="","",IF('単目量'!$E$9=0,"",'単目量'!$E$39/'単目量'!$E$9)))</f>
        <v>R LC  wanted</v>
      </c>
      <c r="F76" s="74" t="s">
        <v>14</v>
      </c>
      <c r="G76" s="73" t="str">
        <f>IF('単目量'!$F$24&gt;1000000,"wanted",IF('単目量'!$F$24="","wanted",'単目量'!$F$24))</f>
        <v>wanted</v>
      </c>
      <c r="H76" s="78"/>
      <c r="I76" s="68" t="str">
        <f>IF($C$76=0,"NO",IF($G$76="wanted","NO",IF($E$76="","NO",IF($E$76&lt;$C$76,"NO",IF($E$76&gt;$G$76,"NO","YES")))))</f>
        <v>NO</v>
      </c>
    </row>
    <row r="77" spans="1:9" ht="7.5" customHeight="1">
      <c r="A77" s="13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f>IF(OR('単目量'!$E$17="",'単目量'!$E$17=0),"",'単目量'!$E$16/'単目量'!$E$17)</f>
      </c>
      <c r="F81" s="25" t="s">
        <v>14</v>
      </c>
      <c r="G81" s="102">
        <f>IF('単目量'!$E$28="","",'単目量'!$E$28)</f>
      </c>
      <c r="H81" s="78"/>
      <c r="I81" s="68" t="str">
        <f>IF($G$81&gt;1000000,"NO",IF($G$81="","NO",IF($G$81&lt;$E$81,"NO","YES")))</f>
        <v>NO</v>
      </c>
    </row>
    <row r="82" spans="1:9" ht="9" customHeight="1">
      <c r="A82" s="48"/>
      <c r="B82" s="59"/>
      <c r="C82" s="59"/>
      <c r="D82" s="59"/>
      <c r="E82" s="59"/>
      <c r="F82" s="59"/>
      <c r="G82" s="59"/>
      <c r="H82" s="59"/>
      <c r="I82" s="105"/>
    </row>
    <row r="83" spans="1:9" ht="12.75">
      <c r="A83" s="50" t="s">
        <v>50</v>
      </c>
      <c r="B83" s="106"/>
      <c r="C83" s="107"/>
      <c r="D83" s="107"/>
      <c r="E83" s="136">
        <v>37238</v>
      </c>
      <c r="F83" s="108"/>
      <c r="G83" s="107"/>
      <c r="H83" s="107"/>
      <c r="I83" s="52" t="s">
        <v>61</v>
      </c>
    </row>
    <row r="84" spans="1:9" ht="12.75">
      <c r="A84" s="51" t="s">
        <v>104</v>
      </c>
      <c r="B84" s="17"/>
      <c r="C84" s="109"/>
      <c r="D84" s="109"/>
      <c r="E84" s="109"/>
      <c r="F84" s="109"/>
      <c r="G84" s="109"/>
      <c r="H84" s="109"/>
      <c r="I84" s="109"/>
    </row>
  </sheetData>
  <sheetProtection sheet="1" objects="1" scenarios="1"/>
  <mergeCells count="8">
    <mergeCell ref="D35:E35"/>
    <mergeCell ref="A33:F33"/>
    <mergeCell ref="D70:E70"/>
    <mergeCell ref="D71:E71"/>
    <mergeCell ref="D53:E53"/>
    <mergeCell ref="D48:E48"/>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8"/>
  <dimension ref="A1:K84"/>
  <sheetViews>
    <sheetView showGridLines="0" view="pageBreakPreview" zoomScaleSheetLayoutView="100" zoomScalePageLayoutView="0" workbookViewId="0" topLeftCell="A1">
      <selection activeCell="I9" sqref="I9"/>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ustomHeight="1">
      <c r="A2" s="130"/>
      <c r="B2" s="17"/>
      <c r="C2" s="17"/>
      <c r="D2" s="17"/>
      <c r="E2" s="17"/>
      <c r="F2" s="17"/>
      <c r="G2" s="17"/>
      <c r="H2" s="17"/>
      <c r="I2" s="57"/>
    </row>
    <row r="3" spans="1:9" ht="9" customHeight="1">
      <c r="A3" s="17"/>
      <c r="B3" s="17"/>
      <c r="C3" s="17"/>
      <c r="D3" s="17"/>
      <c r="E3" s="17"/>
      <c r="F3" s="17"/>
      <c r="G3" s="17"/>
      <c r="H3" s="17"/>
      <c r="I3" s="57"/>
    </row>
    <row r="4" spans="1:9" ht="12.75">
      <c r="A4" s="47" t="s">
        <v>101</v>
      </c>
      <c r="B4" s="48"/>
      <c r="C4" s="48"/>
      <c r="D4" s="48"/>
      <c r="E4" s="48"/>
      <c r="F4" s="48"/>
      <c r="G4" s="48"/>
      <c r="H4" s="48"/>
      <c r="I4" s="58"/>
    </row>
    <row r="5" spans="1:9" ht="6" customHeight="1">
      <c r="A5" s="48"/>
      <c r="B5" s="48"/>
      <c r="C5" s="48"/>
      <c r="D5" s="48"/>
      <c r="E5" s="48"/>
      <c r="F5" s="48"/>
      <c r="G5" s="48"/>
      <c r="H5" s="48"/>
      <c r="I5" s="58"/>
    </row>
    <row r="6" spans="1:9" ht="12.75">
      <c r="A6" s="137" t="s">
        <v>86</v>
      </c>
      <c r="B6" s="48"/>
      <c r="C6" s="59"/>
      <c r="D6" s="59"/>
      <c r="E6" s="59"/>
      <c r="F6" s="59"/>
      <c r="G6" s="59"/>
      <c r="H6" s="59"/>
      <c r="I6" s="60" t="s">
        <v>17</v>
      </c>
    </row>
    <row r="7" spans="1:9" ht="1.5" customHeight="1">
      <c r="A7" s="117"/>
      <c r="B7" s="121">
        <f>IF(B9="",5,IF('単目量'!E30="A",1,IF('単目量'!E30="B",2,IF('単目量'!E30="C",3,IF('単目量'!E30="D",4,0)))))</f>
        <v>3</v>
      </c>
      <c r="C7" s="121"/>
      <c r="D7" s="121">
        <f>IF(D9="",5,IF('単目量'!E19="I",1,IF('単目量'!E19="II",2,IF('単目量'!E19="III",3,IF('単目量'!E19="IIII",4,0)))))</f>
        <v>0</v>
      </c>
      <c r="E7" s="121"/>
      <c r="F7" s="121"/>
      <c r="G7" s="121">
        <f>IF(G9="",0,IF('単目量'!E6="I",1,IF('単目量'!E6="II",2,IF('単目量'!E6="III",3,IF('単目量'!E6="IIII",4,0)))))</f>
        <v>0</v>
      </c>
      <c r="H7" s="115"/>
      <c r="I7" s="118"/>
    </row>
    <row r="8" spans="1:9" ht="12.75" customHeight="1">
      <c r="A8" s="48"/>
      <c r="B8" s="62" t="s">
        <v>72</v>
      </c>
      <c r="C8" s="62" t="s">
        <v>8</v>
      </c>
      <c r="D8" s="62" t="s">
        <v>73</v>
      </c>
      <c r="E8" s="63" t="s">
        <v>71</v>
      </c>
      <c r="F8" s="64"/>
      <c r="G8" s="65" t="s">
        <v>74</v>
      </c>
      <c r="H8" s="48"/>
      <c r="I8" s="61"/>
    </row>
    <row r="9" spans="1:9" ht="12.75" customHeight="1">
      <c r="A9" s="48"/>
      <c r="B9" s="66" t="str">
        <f>IF('単目量'!$E$30="","",'単目量'!$E$30)</f>
        <v>C</v>
      </c>
      <c r="C9" s="62" t="s">
        <v>8</v>
      </c>
      <c r="D9" s="66" t="str">
        <f>IF('単目量'!$E$19="","",'単目量'!$E$19)</f>
        <v>３級</v>
      </c>
      <c r="E9" s="63" t="s">
        <v>71</v>
      </c>
      <c r="F9" s="67"/>
      <c r="G9" s="66" t="str">
        <f>IF('単目量'!$E$6="","",'単目量'!$E$6)</f>
        <v>３級</v>
      </c>
      <c r="H9" s="48"/>
      <c r="I9" s="68" t="str">
        <f>IF($G$7=0,"NO",IF($B$7&gt;$G$7,"NO",IF($D$7&gt;$G$7,"NO","YES")))</f>
        <v>NO</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f>IF('単目量'!E40="","",'単目量'!E40)</f>
        <v>-10</v>
      </c>
      <c r="D14" s="71" t="s">
        <v>8</v>
      </c>
      <c r="E14" s="73">
        <f>IF('単目量'!E25="","",'単目量'!E25)</f>
        <v>-10</v>
      </c>
      <c r="F14" s="74" t="s">
        <v>14</v>
      </c>
      <c r="G14" s="73">
        <f>IF('単目量'!E15="","",'単目量'!E15)</f>
        <v>-10</v>
      </c>
      <c r="H14" s="59"/>
      <c r="I14" s="68" t="str">
        <f>IF(OR($G$14="",$G$14&gt;100),"NO",IF($C$14&gt;$G$14,"NO",IF($E$14&gt;$G$14,"NO","YES")))</f>
        <v>YES</v>
      </c>
    </row>
    <row r="15" spans="1:9" ht="12.75" customHeight="1">
      <c r="A15" s="48"/>
      <c r="B15" s="72" t="s">
        <v>24</v>
      </c>
      <c r="C15" s="73">
        <f>IF('単目量'!F40="","",'単目量'!F40)</f>
        <v>40</v>
      </c>
      <c r="D15" s="71" t="s">
        <v>8</v>
      </c>
      <c r="E15" s="73">
        <f>IF('単目量'!F25="","",'単目量'!F25)</f>
        <v>40</v>
      </c>
      <c r="F15" s="74" t="s">
        <v>15</v>
      </c>
      <c r="G15" s="73">
        <f>IF('単目量'!F15="","",'単目量'!F15)</f>
        <v>40</v>
      </c>
      <c r="H15" s="75"/>
      <c r="I15" s="68" t="str">
        <f>IF(OR($C15&gt;150,$E$15&gt;100),"NO",IF($G$15="","NO",IF($C$15&lt;$G$15,"NO",IF($E$15&lt;$G$15,"NO","YES"))))</f>
        <v>YES</v>
      </c>
    </row>
    <row r="16" spans="1:9" ht="5.2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f>IF('単目量'!$E$43="","",'単目量'!$E$43^2)</f>
        <v>0.25</v>
      </c>
      <c r="C20" s="71" t="s">
        <v>9</v>
      </c>
      <c r="D20" s="119">
        <f>IF('単目量'!$E$26="","",'単目量'!$E$26^2)</f>
        <v>0</v>
      </c>
      <c r="E20" s="71" t="s">
        <v>9</v>
      </c>
      <c r="F20" s="119">
        <f>IF('単目量'!$E$41="","",'単目量'!$E$41^2)</f>
        <v>0.6400000000000001</v>
      </c>
      <c r="G20" s="74" t="s">
        <v>28</v>
      </c>
      <c r="H20" s="59"/>
      <c r="I20" s="68" t="str">
        <f>IF(OR($F$20="",$F$20&gt;(0.8)^2,$F$20&lt;(0.3)^2,$D$20="",$D$20&gt;(0.8)^2,$D$20&lt;(0.3)^2,$B$20=""),"NO",IF($B$20+$D$20+$F$20&gt;1,"NO","YES"))</f>
        <v>NO</v>
      </c>
    </row>
    <row r="21" spans="1:9" ht="5.2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c r="A25" s="48"/>
      <c r="B25" s="85" t="s">
        <v>45</v>
      </c>
      <c r="C25" s="125"/>
      <c r="D25" s="81"/>
      <c r="E25" s="82">
        <f>'単目量'!E20</f>
        <v>3000</v>
      </c>
      <c r="F25" s="83" t="s">
        <v>15</v>
      </c>
      <c r="G25" s="82" t="e">
        <f>IF(単目量!#REF!=0,0,単目量!#REF!/単目量!#REF!)</f>
        <v>#REF!</v>
      </c>
      <c r="H25" s="78"/>
      <c r="I25" s="84"/>
    </row>
    <row r="26" spans="1:9" ht="12.75" customHeight="1">
      <c r="A26" s="48"/>
      <c r="B26" s="141" t="s">
        <v>108</v>
      </c>
      <c r="C26" s="86"/>
      <c r="D26" s="87" t="s">
        <v>18</v>
      </c>
      <c r="E26" s="119">
        <f>IF('単目量'!$E$20="","",'単目量'!$E$20)</f>
        <v>3000</v>
      </c>
      <c r="F26" s="74" t="s">
        <v>15</v>
      </c>
      <c r="G26" s="120" t="e">
        <f>IF(単目量!#REF!="","",IF(単目量!#REF!=0,"",単目量!#REF!/単目量!#REF!))</f>
        <v>#REF!</v>
      </c>
      <c r="H26" s="78"/>
      <c r="I26" s="68" t="e">
        <f>IF(OR($E$26="",$E$26&gt;100000000,$G$26=""),"NO",IF($G$26&gt;$E$26,"NO","YES"))</f>
        <v>#REF!</v>
      </c>
    </row>
    <row r="27" spans="1:9" ht="12.75" customHeight="1">
      <c r="A27" s="48"/>
      <c r="B27" s="85"/>
      <c r="C27" s="129"/>
      <c r="D27" s="128" t="s">
        <v>19</v>
      </c>
      <c r="E27" s="119">
        <f>IF('単目量'!$E$20="","",'単目量'!$E$20)</f>
        <v>3000</v>
      </c>
      <c r="F27" s="74" t="s">
        <v>15</v>
      </c>
      <c r="G27" s="120" t="e">
        <f>IF(単目量!#REF!="","",IF(単目量!#REF!=0,"",単目量!#REF!/単目量!#REF!))</f>
        <v>#REF!</v>
      </c>
      <c r="H27" s="78"/>
      <c r="I27" s="68" t="e">
        <f>IF(OR($E$27="",$E$27&gt;100000000,$G$27=""),"NO",IF($G$27&gt;$E$27,"NO","YES"))</f>
        <v>#REF!</v>
      </c>
    </row>
    <row r="28" spans="1:9" ht="12.75" customHeight="1">
      <c r="A28" s="48"/>
      <c r="B28" s="88"/>
      <c r="C28" s="89"/>
      <c r="D28" s="128" t="s">
        <v>20</v>
      </c>
      <c r="E28" s="119">
        <f>IF('単目量'!$E$20="","",'単目量'!$E$20)</f>
        <v>3000</v>
      </c>
      <c r="F28" s="74" t="s">
        <v>15</v>
      </c>
      <c r="G28" s="120" t="e">
        <f>IF(単目量!#REF!="","",IF(単目量!#REF!=0,"",単目量!#REF!/単目量!#REF!))</f>
        <v>#REF!</v>
      </c>
      <c r="H28" s="78"/>
      <c r="I28" s="68" t="e">
        <f>IF(OR($E$28="",$E$28&gt;100000000,$G$28=""),"NO",IF($G$28&gt;$E$28,"NO","YES"))</f>
        <v>#REF!</v>
      </c>
    </row>
    <row r="29" spans="1:9" ht="4.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ht="1.5" customHeight="1">
      <c r="A32" s="48"/>
      <c r="B32" s="59"/>
      <c r="C32" s="59"/>
      <c r="D32" s="59"/>
      <c r="E32" s="59"/>
      <c r="F32" s="59"/>
      <c r="G32" s="60"/>
      <c r="H32" s="59"/>
      <c r="I32" s="69"/>
      <c r="K32" s="124"/>
    </row>
    <row r="33" spans="1:11" ht="12.75" customHeight="1">
      <c r="A33" s="345" t="s">
        <v>60</v>
      </c>
      <c r="B33" s="345"/>
      <c r="C33" s="345"/>
      <c r="D33" s="345"/>
      <c r="E33" s="345"/>
      <c r="F33" s="356"/>
      <c r="G33" s="93" t="e">
        <f>IF('単目量'!$E$11="","DL wanted",IF('単目量'!$E$13="","NUD wanted",IF('単目量'!$E$12="","IZRS wanted",IF(単目量!#REF!="","",IF(単目量!#REF!=0,"",(単目量!#REF!+'単目量'!$E$12+'単目量'!$E$13+'単目量'!$E$11+'単目量'!$E$14)/単目量!#REF!)))))</f>
        <v>#REF!</v>
      </c>
      <c r="H33" s="59"/>
      <c r="I33" s="69"/>
      <c r="K33" s="123" t="e">
        <f>IF(OR('単目量'!$E$11="",'単目量'!$E$13="",'単目量'!$E$12=""),"NO",IF(単目量!#REF!="","",IF(単目量!#REF!=0,"",(単目量!#REF!+'単目量'!$E$12+'単目量'!$E$13+'単目量'!$E$11)/単目量!#REF!)))</f>
        <v>#REF!</v>
      </c>
    </row>
    <row r="34" spans="1:9" ht="12.75" customHeight="1">
      <c r="A34" s="48"/>
      <c r="B34" s="59"/>
      <c r="C34" s="59"/>
      <c r="D34" s="94" t="s">
        <v>56</v>
      </c>
      <c r="E34" s="95"/>
      <c r="F34" s="74" t="s">
        <v>14</v>
      </c>
      <c r="G34" s="72" t="s">
        <v>31</v>
      </c>
      <c r="H34" s="78"/>
      <c r="I34" s="69"/>
    </row>
    <row r="35" spans="1:9" ht="12.75" customHeight="1">
      <c r="A35" s="48"/>
      <c r="B35" s="59"/>
      <c r="C35" s="59"/>
      <c r="D35" s="343" t="e">
        <f>IF('単目量'!$E$10="","R wanted",IF($G$33="","Q wanted",IF('単目量'!$E$9="","Anzahl  N  wanted",($G$33*単目量!#REF!*'単目量'!$E$10)/'単目量'!$E$9)))</f>
        <v>#REF!</v>
      </c>
      <c r="E35" s="357"/>
      <c r="F35" s="74" t="s">
        <v>14</v>
      </c>
      <c r="G35" s="73">
        <f>IF('単目量'!$E$31="","",'単目量'!$E$31)</f>
        <v>30000</v>
      </c>
      <c r="H35" s="78"/>
      <c r="I35" s="68" t="e">
        <f>IF(OR($K$33="NO",$G$33="",$G$35="",$G$35&gt;10000000),"NO",IF($D$35&gt;$G$35,"NO","YES"))</f>
        <v>#REF!</v>
      </c>
    </row>
    <row r="36" spans="1:9" ht="5.2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c r="A40" s="48"/>
      <c r="B40" s="96" t="s">
        <v>22</v>
      </c>
      <c r="C40" s="97"/>
      <c r="D40" s="81"/>
      <c r="E40" s="99">
        <f>'単目量'!E34</f>
        <v>3000</v>
      </c>
      <c r="F40" s="74" t="s">
        <v>15</v>
      </c>
      <c r="G40" s="99" t="e">
        <f>IF(単目量!#REF!=0,0,単目量!#REF!/単目量!#REF!)</f>
        <v>#REF!</v>
      </c>
      <c r="H40" s="78"/>
      <c r="I40" s="84"/>
    </row>
    <row r="41" spans="1:9" ht="12.75" customHeight="1">
      <c r="A41" s="48"/>
      <c r="B41" s="141" t="s">
        <v>108</v>
      </c>
      <c r="C41" s="86"/>
      <c r="D41" s="87" t="s">
        <v>18</v>
      </c>
      <c r="E41" s="119">
        <f>IF('単目量'!$E$34="","",'単目量'!$E$34)</f>
        <v>3000</v>
      </c>
      <c r="F41" s="74" t="s">
        <v>15</v>
      </c>
      <c r="G41" s="66" t="e">
        <f>IF(単目量!#REF!="","",IF(単目量!#REF!=0,"",単目量!#REF!/単目量!#REF!))</f>
        <v>#REF!</v>
      </c>
      <c r="H41" s="78"/>
      <c r="I41" s="68" t="e">
        <f>IF(OR($G$41=0,$G$41="",$E$41="",$E$41&gt;100000000),"NO",IF($G$41&gt;$E$41,"NO","YES"))</f>
        <v>#REF!</v>
      </c>
    </row>
    <row r="42" spans="1:9" ht="12.75" customHeight="1">
      <c r="A42" s="48"/>
      <c r="B42" s="85"/>
      <c r="C42" s="129"/>
      <c r="D42" s="128" t="s">
        <v>19</v>
      </c>
      <c r="E42" s="119">
        <f>IF('単目量'!$E$34="","",'単目量'!$E$34)</f>
        <v>3000</v>
      </c>
      <c r="F42" s="74" t="s">
        <v>15</v>
      </c>
      <c r="G42" s="66" t="e">
        <f>IF(単目量!#REF!="","",IF(単目量!#REF!=0,"",単目量!#REF!/単目量!#REF!))</f>
        <v>#REF!</v>
      </c>
      <c r="H42" s="78"/>
      <c r="I42" s="68" t="e">
        <f>IF(OR($G$42=0,$G$42="",$E$42="",$E$42&gt;100000000),"NO",IF($G$42&gt;$E$42,"NO","YES"))</f>
        <v>#REF!</v>
      </c>
    </row>
    <row r="43" spans="1:9" ht="12.75" customHeight="1">
      <c r="A43" s="48"/>
      <c r="B43" s="88"/>
      <c r="C43" s="76"/>
      <c r="D43" s="126" t="s">
        <v>20</v>
      </c>
      <c r="E43" s="119">
        <f>IF('単目量'!$E$34="","",'単目量'!$E$34)</f>
        <v>3000</v>
      </c>
      <c r="F43" s="127" t="s">
        <v>15</v>
      </c>
      <c r="G43" s="66" t="e">
        <f>IF(単目量!#REF!="","",IF(単目量!#REF!=0,"",単目量!#REF!/単目量!#REF!))</f>
        <v>#REF!</v>
      </c>
      <c r="H43" s="78"/>
      <c r="I43" s="68" t="e">
        <f>IF(OR($G$43=0,$G$43="",$E$43="",$E$43&gt;100000000),"NO",IF($G$43&gt;$E$43,"NO","YES"))</f>
        <v>#REF!</v>
      </c>
    </row>
    <row r="44" spans="1:9" ht="7.5" customHeight="1" hidden="1">
      <c r="A44" s="48"/>
      <c r="B44" s="59"/>
      <c r="C44" s="59"/>
      <c r="D44" s="59"/>
      <c r="E44" s="90"/>
      <c r="F44" s="91"/>
      <c r="G44" s="90"/>
      <c r="H44" s="78"/>
      <c r="I44" s="92"/>
    </row>
    <row r="45" spans="1:9" ht="15.75" hidden="1">
      <c r="A45" s="48" t="s">
        <v>21</v>
      </c>
      <c r="B45" s="59"/>
      <c r="C45" s="59"/>
      <c r="D45" s="59"/>
      <c r="E45" s="90"/>
      <c r="F45" s="91"/>
      <c r="G45" s="90"/>
      <c r="H45" s="78"/>
      <c r="I45" s="92"/>
    </row>
    <row r="46" spans="1:9" ht="1.5" customHeight="1" hidden="1">
      <c r="A46" s="48"/>
      <c r="B46" s="59"/>
      <c r="C46" s="59"/>
      <c r="D46" s="59"/>
      <c r="E46" s="90"/>
      <c r="F46" s="91"/>
      <c r="G46" s="90"/>
      <c r="H46" s="78"/>
      <c r="I46" s="92"/>
    </row>
    <row r="47" spans="1:9" ht="12.75" customHeight="1" hidden="1">
      <c r="A47" s="48"/>
      <c r="B47" s="59"/>
      <c r="C47" s="59"/>
      <c r="D47" s="94" t="s">
        <v>41</v>
      </c>
      <c r="E47" s="95"/>
      <c r="F47" s="74" t="s">
        <v>15</v>
      </c>
      <c r="G47" s="72" t="s">
        <v>33</v>
      </c>
      <c r="H47" s="78"/>
      <c r="I47" s="92"/>
    </row>
    <row r="48" spans="1:9" ht="12.75" customHeight="1" hidden="1">
      <c r="A48" s="48"/>
      <c r="B48" s="59"/>
      <c r="C48" s="59"/>
      <c r="D48" s="350">
        <v>0</v>
      </c>
      <c r="E48" s="358"/>
      <c r="F48" s="74" t="s">
        <v>15</v>
      </c>
      <c r="G48" s="62">
        <f>IF('単目量'!F15=0,0,'単目量'!E15/'単目量'!F15)</f>
        <v>-0.25</v>
      </c>
      <c r="H48" s="78"/>
      <c r="I48" s="92"/>
    </row>
    <row r="49" spans="1:9" ht="5.25" customHeight="1">
      <c r="A49" s="48"/>
      <c r="B49" s="59"/>
      <c r="C49" s="59"/>
      <c r="D49" s="49"/>
      <c r="E49" s="100"/>
      <c r="F49" s="91"/>
      <c r="G49" s="90"/>
      <c r="H49" s="78"/>
      <c r="I49" s="92"/>
    </row>
    <row r="50" spans="1:9" ht="12.75">
      <c r="A50" s="138" t="s">
        <v>87</v>
      </c>
      <c r="B50" s="59"/>
      <c r="C50" s="59"/>
      <c r="D50" s="59"/>
      <c r="E50" s="90"/>
      <c r="F50" s="91"/>
      <c r="G50" s="90"/>
      <c r="H50" s="78"/>
      <c r="I50" s="92"/>
    </row>
    <row r="51" spans="1:9" ht="1.5" customHeight="1">
      <c r="A51" s="48"/>
      <c r="B51" s="59"/>
      <c r="C51" s="59"/>
      <c r="D51" s="59"/>
      <c r="E51" s="90"/>
      <c r="F51" s="91"/>
      <c r="G51" s="90"/>
      <c r="H51" s="78"/>
      <c r="I51" s="92"/>
    </row>
    <row r="52" spans="1:9" ht="15">
      <c r="A52" s="48"/>
      <c r="B52" s="59"/>
      <c r="C52" s="59"/>
      <c r="D52" s="94" t="s">
        <v>51</v>
      </c>
      <c r="E52" s="95"/>
      <c r="F52" s="74" t="s">
        <v>15</v>
      </c>
      <c r="G52" s="72" t="s">
        <v>62</v>
      </c>
      <c r="H52" s="78"/>
      <c r="I52" s="92"/>
    </row>
    <row r="53" spans="1:9" ht="12.75">
      <c r="A53" s="48"/>
      <c r="B53" s="59"/>
      <c r="C53" s="59"/>
      <c r="D53" s="343">
        <f>IF('単目量'!$E$38&lt;&gt;0,'単目量'!$E$38,(IF('単目量'!$E$37&lt;&gt;0,'単目量'!$E$31/(2*'単目量'!$E$37),'単目量'!$E$34)))</f>
        <v>3000</v>
      </c>
      <c r="E53" s="357"/>
      <c r="F53" s="74" t="s">
        <v>15</v>
      </c>
      <c r="G53" s="66" t="e">
        <f>IF(単目量!#REF!="","",IF(単目量!#REF!=0,"",単目量!#REF!/単目量!#REF!*0.4))</f>
        <v>#REF!</v>
      </c>
      <c r="H53" s="59"/>
      <c r="I53" s="68" t="e">
        <f>IF($D$53&gt;10000000,"NO",IF($G$53="","NO",IF($G$53&gt;$D$53,"NO","YES")))</f>
        <v>#REF!</v>
      </c>
    </row>
    <row r="54" spans="1:10" ht="5.25" customHeight="1">
      <c r="A54" s="48"/>
      <c r="B54" s="59"/>
      <c r="C54" s="59"/>
      <c r="D54" s="49"/>
      <c r="E54" s="100"/>
      <c r="F54" s="91"/>
      <c r="G54" s="90"/>
      <c r="H54" s="59"/>
      <c r="I54" s="69"/>
      <c r="J54" s="20"/>
    </row>
    <row r="55" spans="1:10" ht="12.75">
      <c r="A55" s="137" t="s">
        <v>76</v>
      </c>
      <c r="B55" s="48"/>
      <c r="C55" s="59"/>
      <c r="D55" s="59"/>
      <c r="E55" s="59"/>
      <c r="F55" s="59"/>
      <c r="G55" s="59"/>
      <c r="H55" s="59"/>
      <c r="I55" s="69"/>
      <c r="J55" s="20"/>
    </row>
    <row r="56" spans="1:10" ht="1.5" customHeight="1">
      <c r="A56" s="48"/>
      <c r="B56" s="59"/>
      <c r="C56" s="59"/>
      <c r="D56" s="59"/>
      <c r="E56" s="59"/>
      <c r="F56" s="59"/>
      <c r="G56" s="59"/>
      <c r="H56" s="59"/>
      <c r="I56" s="69"/>
      <c r="J56" s="20"/>
    </row>
    <row r="57" spans="1:10" ht="12.75" customHeight="1">
      <c r="A57" s="48"/>
      <c r="B57" s="59"/>
      <c r="C57" s="59"/>
      <c r="D57" s="59"/>
      <c r="E57" s="72" t="s">
        <v>16</v>
      </c>
      <c r="F57" s="74" t="s">
        <v>15</v>
      </c>
      <c r="G57" s="72" t="s">
        <v>35</v>
      </c>
      <c r="H57" s="78"/>
      <c r="I57" s="69"/>
      <c r="J57" s="20"/>
    </row>
    <row r="58" spans="1:9" ht="12.75" customHeight="1">
      <c r="A58" s="48"/>
      <c r="B58" s="59"/>
      <c r="C58" s="59"/>
      <c r="D58" s="59"/>
      <c r="E58" s="73">
        <f>IF('単目量'!$E$9="","",IF('単目量'!$E$9=0,"",'単目量'!$E$11*'単目量'!$E$10/'単目量'!$E$9))</f>
        <v>3000</v>
      </c>
      <c r="F58" s="74" t="s">
        <v>15</v>
      </c>
      <c r="G58" s="73">
        <f>IF('単目量'!$E$32="","",'単目量'!$E$32)</f>
        <v>2000</v>
      </c>
      <c r="H58" s="78"/>
      <c r="I58" s="68" t="str">
        <f>IF(OR($E$58="",$G$58=""),"NO",IF($G$58&gt;$E$58,"NO","YES"))</f>
        <v>YES</v>
      </c>
    </row>
    <row r="59" spans="1:9" ht="5.25" customHeight="1">
      <c r="A59" s="4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IF('単目量'!$E$9="","",IF('単目量'!$E$9=0,"",単目量!#REF!*'単目量'!$E$10/'単目量'!$E$9^0.5))</f>
        <v>#REF!</v>
      </c>
      <c r="F63" s="74" t="s">
        <v>15</v>
      </c>
      <c r="G63" s="119">
        <f>IF('単目量'!$E$31="","",IF('単目量'!$E$36&lt;&gt;0,'単目量'!$E$31/'単目量'!$E$36,IF('単目量'!$E$35&lt;&gt;0,'単目量'!$E$35,IF('単目量'!$E$34=0,"",'単目量'!$E$31/'単目量'!$E$34))))</f>
        <v>5</v>
      </c>
      <c r="H63" s="78"/>
      <c r="I63" s="68" t="e">
        <f>IF(OR($E$63="",$G$63=""),"NO",IF($G$63&gt;$E$63,"NO","YES"))</f>
        <v>#REF!</v>
      </c>
    </row>
    <row r="64" spans="1:9" ht="5.2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52" t="s">
        <v>82</v>
      </c>
      <c r="E67" s="348"/>
      <c r="F67" s="74" t="s">
        <v>15</v>
      </c>
      <c r="G67" s="72" t="s">
        <v>67</v>
      </c>
      <c r="H67" s="78"/>
      <c r="I67" s="103"/>
    </row>
    <row r="68" spans="1:9" ht="12.75" customHeight="1">
      <c r="A68" s="48"/>
      <c r="B68" s="59"/>
      <c r="C68" s="140" t="s">
        <v>81</v>
      </c>
      <c r="D68" s="353">
        <f>IF('単目量'!$E$33="","",IF(OR('単目量'!$E$31=0,'単目量'!$E$9=0),"",'単目量'!$E$33*'単目量'!$E$21*'単目量'!$E$10*'単目量'!$E$11/('単目量'!$E$31*'単目量'!$E$9)))</f>
        <v>0</v>
      </c>
      <c r="E68" s="354"/>
      <c r="F68" s="74" t="s">
        <v>15</v>
      </c>
      <c r="G68" s="73">
        <f>IF('単目量'!$E$22="","",'単目量'!$E$22)</f>
      </c>
      <c r="H68" s="78"/>
      <c r="I68" s="68" t="str">
        <f>IF(OR($D$68&gt;1000000,$G$68="",$D$68=""),"NO",IF($G$68&gt;$D$68,"NO","YES"))</f>
        <v>NO</v>
      </c>
    </row>
    <row r="69" spans="1:9" ht="3.75" customHeight="1">
      <c r="A69" s="48"/>
      <c r="B69" s="59"/>
      <c r="C69" s="134"/>
      <c r="D69" s="132"/>
      <c r="E69" s="133"/>
      <c r="F69" s="113"/>
      <c r="G69" s="114"/>
      <c r="H69" s="78"/>
      <c r="I69" s="131"/>
    </row>
    <row r="70" spans="1:9" ht="12.75" customHeight="1">
      <c r="A70" s="48"/>
      <c r="B70" s="59"/>
      <c r="C70" s="139" t="s">
        <v>88</v>
      </c>
      <c r="D70" s="347" t="s">
        <v>58</v>
      </c>
      <c r="E70" s="348"/>
      <c r="F70" s="74" t="s">
        <v>15</v>
      </c>
      <c r="G70" s="104" t="s">
        <v>37</v>
      </c>
      <c r="H70" s="78"/>
      <c r="I70" s="103"/>
    </row>
    <row r="71" spans="1:9" ht="12.75" customHeight="1">
      <c r="A71" s="48"/>
      <c r="B71" s="59"/>
      <c r="C71" s="135"/>
      <c r="D71" s="349" t="e">
        <f>IF('単目量'!$E$33="","",IF(OR('単目量'!$E$31=0,'単目量'!$E$9=0),"",'単目量'!$E$33*1000*'単目量'!$E$21*'単目量'!$E$10*単目量!#REF!/('単目量'!$E$31*'単目量'!$E$9)))</f>
        <v>#REF!</v>
      </c>
      <c r="E71" s="355"/>
      <c r="F71" s="74" t="s">
        <v>15</v>
      </c>
      <c r="G71" s="73">
        <f>'単目量'!$E$23</f>
        <v>0</v>
      </c>
      <c r="H71" s="78"/>
      <c r="I71" s="68" t="e">
        <f>IF(OR($D$71&gt;1000000,$G$71="",$D$71=""),"NO",IF($G$71&gt;$D$71,"NO","YES"))</f>
        <v>#REF!</v>
      </c>
    </row>
    <row r="72" spans="1:9" ht="5.2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138"/>
      <c r="B74" s="59"/>
      <c r="C74" s="59"/>
      <c r="D74" s="59"/>
      <c r="E74" s="59"/>
      <c r="F74" s="59"/>
      <c r="G74" s="59"/>
      <c r="H74" s="59"/>
      <c r="I74" s="103"/>
    </row>
    <row r="75" spans="1:9" ht="12.75" customHeight="1">
      <c r="A75" s="138"/>
      <c r="B75" s="59"/>
      <c r="C75" s="72" t="s">
        <v>38</v>
      </c>
      <c r="D75" s="74" t="s">
        <v>14</v>
      </c>
      <c r="E75" s="72" t="s">
        <v>39</v>
      </c>
      <c r="F75" s="74" t="s">
        <v>14</v>
      </c>
      <c r="G75" s="72" t="s">
        <v>40</v>
      </c>
      <c r="H75" s="78"/>
      <c r="I75" s="103"/>
    </row>
    <row r="76" spans="1:9" ht="12.75" customHeight="1">
      <c r="A76" s="138"/>
      <c r="B76" s="59"/>
      <c r="C76" s="73" t="str">
        <f>IF('単目量'!$E$24="","wanted",'単目量'!$E$24)</f>
        <v>wanted</v>
      </c>
      <c r="D76" s="74" t="s">
        <v>14</v>
      </c>
      <c r="E76" s="73" t="str">
        <f>IF('単目量'!E39="","R LC  wanted",IF('単目量'!$E$9="","",IF('単目量'!$E$9=0,"",'単目量'!$E$39/'単目量'!$E$9)))</f>
        <v>R LC  wanted</v>
      </c>
      <c r="F76" s="74" t="s">
        <v>14</v>
      </c>
      <c r="G76" s="73" t="str">
        <f>IF('単目量'!$F$24&gt;1000000,"wanted",IF('単目量'!$F$24="","wanted",'単目量'!$F$24))</f>
        <v>wanted</v>
      </c>
      <c r="H76" s="78"/>
      <c r="I76" s="68" t="str">
        <f>IF($C$76=0,"NO",IF($G$76="wanted","NO",IF($E$76="","NO",IF($E$76&lt;$C$76,"NO",IF($E$76&gt;$G$76,"NO","YES")))))</f>
        <v>NO</v>
      </c>
    </row>
    <row r="77" spans="1:9" ht="5.25" customHeight="1">
      <c r="A77" s="13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f>IF(OR('単目量'!$E$17="",'単目量'!$E$17=0),"",'単目量'!$E$16/'単目量'!$E$17)</f>
      </c>
      <c r="F81" s="25" t="s">
        <v>14</v>
      </c>
      <c r="G81" s="102">
        <f>IF('単目量'!$E$28="","",'単目量'!$E$28)</f>
      </c>
      <c r="H81" s="78"/>
      <c r="I81" s="68" t="str">
        <f>IF($G$81&gt;1000000,"NO",IF($G$81="","NO",IF($G$81&lt;$E$81,"NO","YES")))</f>
        <v>NO</v>
      </c>
    </row>
    <row r="82" spans="1:9" ht="3.75" customHeight="1">
      <c r="A82" s="48"/>
      <c r="B82" s="59"/>
      <c r="C82" s="59"/>
      <c r="D82" s="59"/>
      <c r="E82" s="59"/>
      <c r="F82" s="59"/>
      <c r="G82" s="59"/>
      <c r="H82" s="59"/>
      <c r="I82" s="105"/>
    </row>
    <row r="83" spans="1:9" ht="12.75">
      <c r="A83" s="50" t="s">
        <v>50</v>
      </c>
      <c r="B83" s="106"/>
      <c r="C83" s="107"/>
      <c r="D83" s="107"/>
      <c r="E83" s="136">
        <v>37238</v>
      </c>
      <c r="F83" s="108"/>
      <c r="G83" s="107"/>
      <c r="H83" s="107"/>
      <c r="I83" s="52" t="s">
        <v>63</v>
      </c>
    </row>
    <row r="84" spans="1:9" ht="12.75">
      <c r="A84" s="51" t="s">
        <v>103</v>
      </c>
      <c r="B84" s="17"/>
      <c r="C84" s="109"/>
      <c r="D84" s="109"/>
      <c r="E84" s="109"/>
      <c r="F84" s="109"/>
      <c r="G84" s="109"/>
      <c r="H84" s="109"/>
      <c r="I84" s="109"/>
    </row>
  </sheetData>
  <sheetProtection sheet="1" objects="1" scenarios="1"/>
  <mergeCells count="8">
    <mergeCell ref="D70:E70"/>
    <mergeCell ref="D71:E71"/>
    <mergeCell ref="A33:F33"/>
    <mergeCell ref="D35:E35"/>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53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4"/>
  <dimension ref="A1:K84"/>
  <sheetViews>
    <sheetView showGridLines="0" view="pageBreakPreview" zoomScaleSheetLayoutView="100" zoomScalePageLayoutView="0" workbookViewId="0" topLeftCell="A1">
      <selection activeCell="I81" sqref="I81"/>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54"/>
      <c r="C1" s="53"/>
      <c r="D1" s="53"/>
      <c r="E1" s="53"/>
      <c r="F1" s="53"/>
      <c r="G1" s="53"/>
      <c r="H1" s="55"/>
      <c r="I1" s="56"/>
    </row>
    <row r="2" spans="1:9" ht="12.75">
      <c r="A2" s="17"/>
      <c r="B2" s="17"/>
      <c r="C2" s="17"/>
      <c r="D2" s="17"/>
      <c r="E2" s="17"/>
      <c r="F2" s="17"/>
      <c r="G2" s="17"/>
      <c r="H2" s="17"/>
      <c r="I2" s="57"/>
    </row>
    <row r="3" spans="1:9" ht="9" customHeight="1">
      <c r="A3" s="17"/>
      <c r="B3" s="17"/>
      <c r="C3" s="17"/>
      <c r="D3" s="17"/>
      <c r="E3" s="17"/>
      <c r="F3" s="17"/>
      <c r="G3" s="17"/>
      <c r="H3" s="17"/>
      <c r="I3" s="57"/>
    </row>
    <row r="4" spans="1:9" ht="12.75">
      <c r="A4" s="47" t="s">
        <v>90</v>
      </c>
      <c r="B4" s="48"/>
      <c r="C4" s="48"/>
      <c r="D4" s="48"/>
      <c r="E4" s="48"/>
      <c r="F4" s="48"/>
      <c r="G4" s="48"/>
      <c r="H4" s="48"/>
      <c r="I4" s="58"/>
    </row>
    <row r="5" spans="1:9" ht="6" customHeight="1">
      <c r="A5" s="48"/>
      <c r="B5" s="48"/>
      <c r="C5" s="48"/>
      <c r="D5" s="48"/>
      <c r="E5" s="48"/>
      <c r="F5" s="48"/>
      <c r="G5" s="48"/>
      <c r="H5" s="48"/>
      <c r="I5" s="58"/>
    </row>
    <row r="6" spans="1:9" ht="13.5" customHeight="1">
      <c r="A6" s="137" t="s">
        <v>86</v>
      </c>
      <c r="B6" s="48"/>
      <c r="C6" s="59"/>
      <c r="D6" s="59"/>
      <c r="E6" s="59"/>
      <c r="F6" s="59"/>
      <c r="G6" s="59"/>
      <c r="H6" s="59"/>
      <c r="I6" s="60" t="s">
        <v>17</v>
      </c>
    </row>
    <row r="7" spans="1:9" ht="1.5" customHeight="1">
      <c r="A7" s="117"/>
      <c r="B7" s="121">
        <f>IF(B9="",5,IF('単目量'!E30="A",1,IF('単目量'!E30="B",2,IF('単目量'!E30="C",3,IF('単目量'!E30="D",4,0)))))</f>
        <v>3</v>
      </c>
      <c r="C7" s="121"/>
      <c r="D7" s="121">
        <f>IF(D9="",5,IF('単目量'!E19="I",1,IF('単目量'!E19="II",2,IF('単目量'!E19="III",3,IF('単目量'!E19="IIII",4,0)))))</f>
        <v>0</v>
      </c>
      <c r="E7" s="121"/>
      <c r="F7" s="121"/>
      <c r="G7" s="121">
        <f>IF(G9="",0,IF('単目量'!E6="I",1,IF('単目量'!E6="II",2,IF('単目量'!E6="III",3,IF('単目量'!E6="IIII",4,0)))))</f>
        <v>0</v>
      </c>
      <c r="H7" s="115"/>
      <c r="I7" s="118"/>
    </row>
    <row r="8" spans="1:9" ht="12.75" customHeight="1">
      <c r="A8" s="48"/>
      <c r="B8" s="62" t="s">
        <v>72</v>
      </c>
      <c r="C8" s="62" t="s">
        <v>8</v>
      </c>
      <c r="D8" s="62" t="s">
        <v>73</v>
      </c>
      <c r="E8" s="63" t="s">
        <v>71</v>
      </c>
      <c r="F8" s="64"/>
      <c r="G8" s="65" t="s">
        <v>74</v>
      </c>
      <c r="H8" s="48"/>
      <c r="I8" s="61"/>
    </row>
    <row r="9" spans="1:9" ht="12.75" customHeight="1">
      <c r="A9" s="48"/>
      <c r="B9" s="66" t="str">
        <f>IF('単目量'!$E$30="","",'単目量'!$E$30)</f>
        <v>C</v>
      </c>
      <c r="C9" s="62" t="s">
        <v>8</v>
      </c>
      <c r="D9" s="66" t="str">
        <f>IF('単目量'!$E$19="","",'単目量'!$E$19)</f>
        <v>３級</v>
      </c>
      <c r="E9" s="63" t="s">
        <v>71</v>
      </c>
      <c r="F9" s="67"/>
      <c r="G9" s="66" t="str">
        <f>IF('単目量'!$E$6="","",'単目量'!$E$6)</f>
        <v>３級</v>
      </c>
      <c r="H9" s="48"/>
      <c r="I9" s="68" t="str">
        <f>IF($G$7=0,"NO",IF($B$7&gt;$G$7,"NO",IF($D$7&gt;$G$7,"NO","YES")))</f>
        <v>NO</v>
      </c>
    </row>
    <row r="10" spans="1:9" ht="7.5" customHeight="1">
      <c r="A10" s="48"/>
      <c r="B10" s="59"/>
      <c r="C10" s="59"/>
      <c r="D10" s="59"/>
      <c r="E10" s="59"/>
      <c r="F10" s="59"/>
      <c r="G10" s="59"/>
      <c r="H10" s="59"/>
      <c r="I10" s="69"/>
    </row>
    <row r="11" spans="1:9" ht="12.75">
      <c r="A11" s="137" t="s">
        <v>109</v>
      </c>
      <c r="B11" s="48"/>
      <c r="C11" s="59"/>
      <c r="D11" s="59"/>
      <c r="E11" s="59"/>
      <c r="F11" s="59"/>
      <c r="G11" s="59"/>
      <c r="H11" s="59"/>
      <c r="I11" s="69"/>
    </row>
    <row r="12" spans="1:9" ht="1.5" customHeight="1">
      <c r="A12" s="48"/>
      <c r="B12" s="59"/>
      <c r="C12" s="59"/>
      <c r="D12" s="59"/>
      <c r="E12" s="59"/>
      <c r="F12" s="59"/>
      <c r="G12" s="59"/>
      <c r="H12" s="59"/>
      <c r="I12" s="69"/>
    </row>
    <row r="13" spans="1:9" ht="12.75" customHeight="1">
      <c r="A13" s="48"/>
      <c r="B13" s="70"/>
      <c r="C13" s="71" t="s">
        <v>72</v>
      </c>
      <c r="D13" s="71"/>
      <c r="E13" s="71" t="s">
        <v>73</v>
      </c>
      <c r="F13" s="71"/>
      <c r="G13" s="71" t="s">
        <v>74</v>
      </c>
      <c r="H13" s="59"/>
      <c r="I13" s="69"/>
    </row>
    <row r="14" spans="1:9" ht="12.75" customHeight="1">
      <c r="A14" s="48"/>
      <c r="B14" s="72" t="s">
        <v>23</v>
      </c>
      <c r="C14" s="73">
        <f>IF('単目量'!$E$40="","",'単目量'!$E$40)</f>
        <v>-10</v>
      </c>
      <c r="D14" s="71" t="s">
        <v>8</v>
      </c>
      <c r="E14" s="73">
        <f>IF('単目量'!$E$25="","",'単目量'!$E$25)</f>
        <v>-10</v>
      </c>
      <c r="F14" s="74" t="s">
        <v>14</v>
      </c>
      <c r="G14" s="73">
        <f>IF('単目量'!$E$15="","",'単目量'!$E$15)</f>
        <v>-10</v>
      </c>
      <c r="H14" s="59"/>
      <c r="I14" s="68" t="str">
        <f>IF(OR($G$14="",$G$14&gt;100),"NO",IF($C$14&gt;$G$14,"NO",IF($E$14&gt;$G$14,"NO","YES")))</f>
        <v>YES</v>
      </c>
    </row>
    <row r="15" spans="1:9" ht="12.75" customHeight="1">
      <c r="A15" s="48"/>
      <c r="B15" s="72" t="s">
        <v>24</v>
      </c>
      <c r="C15" s="73">
        <f>IF('単目量'!$F$40="","",'単目量'!$F$40)</f>
        <v>40</v>
      </c>
      <c r="D15" s="71" t="s">
        <v>8</v>
      </c>
      <c r="E15" s="73">
        <f>IF('単目量'!$F$25="","",'単目量'!$F$25)</f>
        <v>40</v>
      </c>
      <c r="F15" s="74" t="s">
        <v>15</v>
      </c>
      <c r="G15" s="73">
        <f>IF('単目量'!$F$15="","",'単目量'!$F$15)</f>
        <v>40</v>
      </c>
      <c r="H15" s="75"/>
      <c r="I15" s="68" t="str">
        <f>IF(OR($C15&gt;150,$E$15&gt;100),"NO",IF($G$15="","NO",IF($C$15&lt;$G$15,"NO",IF($E$15&lt;$G$15,"NO","YES"))))</f>
        <v>YES</v>
      </c>
    </row>
    <row r="16" spans="1:9" ht="7.5" customHeight="1">
      <c r="A16" s="48"/>
      <c r="B16" s="59"/>
      <c r="C16" s="59"/>
      <c r="D16" s="59"/>
      <c r="E16" s="59"/>
      <c r="F16" s="59"/>
      <c r="G16" s="59"/>
      <c r="H16" s="59"/>
      <c r="I16" s="69"/>
    </row>
    <row r="17" spans="1:9" ht="15.75">
      <c r="A17" s="137" t="s">
        <v>83</v>
      </c>
      <c r="B17" s="48"/>
      <c r="C17" s="59"/>
      <c r="D17" s="59"/>
      <c r="E17" s="59"/>
      <c r="F17" s="59"/>
      <c r="G17" s="59"/>
      <c r="H17" s="59"/>
      <c r="I17" s="69"/>
    </row>
    <row r="18" spans="1:9" ht="1.5" customHeight="1">
      <c r="A18" s="48"/>
      <c r="B18" s="59"/>
      <c r="C18" s="59"/>
      <c r="D18" s="59"/>
      <c r="E18" s="59"/>
      <c r="F18" s="59"/>
      <c r="G18" s="59"/>
      <c r="H18" s="59"/>
      <c r="I18" s="69"/>
    </row>
    <row r="19" spans="1:9" ht="12.75" customHeight="1">
      <c r="A19" s="48"/>
      <c r="B19" s="72" t="s">
        <v>25</v>
      </c>
      <c r="C19" s="71" t="s">
        <v>9</v>
      </c>
      <c r="D19" s="72" t="s">
        <v>26</v>
      </c>
      <c r="E19" s="71" t="s">
        <v>9</v>
      </c>
      <c r="F19" s="72" t="s">
        <v>27</v>
      </c>
      <c r="G19" s="74" t="s">
        <v>28</v>
      </c>
      <c r="H19" s="59"/>
      <c r="I19" s="69"/>
    </row>
    <row r="20" spans="1:9" ht="12.75" customHeight="1">
      <c r="A20" s="48"/>
      <c r="B20" s="119">
        <f>IF('単目量'!$E$43="","",'単目量'!$E$43^2)</f>
        <v>0.25</v>
      </c>
      <c r="C20" s="71" t="s">
        <v>9</v>
      </c>
      <c r="D20" s="119">
        <f>IF('単目量'!$E$26="","",'単目量'!$E$26^2)</f>
        <v>0</v>
      </c>
      <c r="E20" s="71" t="s">
        <v>9</v>
      </c>
      <c r="F20" s="119">
        <f>IF('単目量'!$E$41="","",'単目量'!$E$41^2)</f>
        <v>0.6400000000000001</v>
      </c>
      <c r="G20" s="74" t="s">
        <v>28</v>
      </c>
      <c r="H20" s="59"/>
      <c r="I20" s="68" t="str">
        <f>IF(OR($F$20="",$F$20&gt;(0.8)^2,$F$20&lt;(0.3)^2,$D$20="",$D$20&gt;(0.8)^2,$D$20&lt;(0.3)^2,$B$20=""),"NO",IF($B$20+$D$20+$F$20&gt;1,"NO","YES"))</f>
        <v>NO</v>
      </c>
    </row>
    <row r="21" spans="1:9" ht="7.5" customHeight="1">
      <c r="A21" s="48"/>
      <c r="B21" s="59"/>
      <c r="C21" s="59"/>
      <c r="D21" s="59"/>
      <c r="E21" s="59"/>
      <c r="F21" s="59"/>
      <c r="G21" s="59"/>
      <c r="H21" s="59"/>
      <c r="I21" s="69"/>
    </row>
    <row r="22" spans="1:9" ht="12.75">
      <c r="A22" s="137" t="s">
        <v>84</v>
      </c>
      <c r="B22" s="48"/>
      <c r="C22" s="59"/>
      <c r="D22" s="59"/>
      <c r="E22" s="59"/>
      <c r="F22" s="59"/>
      <c r="G22" s="59"/>
      <c r="H22" s="59"/>
      <c r="I22" s="69"/>
    </row>
    <row r="23" spans="1:9" ht="1.5" customHeight="1">
      <c r="A23" s="48"/>
      <c r="B23" s="59"/>
      <c r="C23" s="59"/>
      <c r="D23" s="59"/>
      <c r="E23" s="59"/>
      <c r="F23" s="59"/>
      <c r="G23" s="59"/>
      <c r="H23" s="59"/>
      <c r="I23" s="69"/>
    </row>
    <row r="24" spans="1:9" ht="12.75" customHeight="1">
      <c r="A24" s="48"/>
      <c r="B24" s="76"/>
      <c r="C24" s="76"/>
      <c r="D24" s="77"/>
      <c r="E24" s="72" t="s">
        <v>29</v>
      </c>
      <c r="F24" s="74" t="s">
        <v>15</v>
      </c>
      <c r="G24" s="72" t="s">
        <v>30</v>
      </c>
      <c r="H24" s="78"/>
      <c r="I24" s="69"/>
    </row>
    <row r="25" spans="1:9" ht="12.75" customHeight="1" hidden="1" thickBot="1">
      <c r="A25" s="48"/>
      <c r="B25" s="79" t="s">
        <v>22</v>
      </c>
      <c r="C25" s="80"/>
      <c r="D25" s="81"/>
      <c r="E25" s="82">
        <f>'単目量'!E20</f>
        <v>3000</v>
      </c>
      <c r="F25" s="83" t="s">
        <v>15</v>
      </c>
      <c r="G25" s="82" t="e">
        <f>IF(単目量!#REF!=0,0,単目量!#REF!/単目量!#REF!)</f>
        <v>#REF!</v>
      </c>
      <c r="H25" s="78"/>
      <c r="I25" s="84"/>
    </row>
    <row r="26" spans="1:9" ht="12.75" customHeight="1">
      <c r="A26" s="48"/>
      <c r="B26" s="141" t="s">
        <v>91</v>
      </c>
      <c r="C26" s="86"/>
      <c r="D26" s="87" t="s">
        <v>18</v>
      </c>
      <c r="E26" s="119">
        <f>IF('単目量'!$E$20="","",'単目量'!$E$20)</f>
        <v>3000</v>
      </c>
      <c r="F26" s="74" t="s">
        <v>15</v>
      </c>
      <c r="G26" s="73" t="e">
        <f>IF(単目量!#REF!="","",IF(単目量!#REF!=0,"",単目量!#REF!/単目量!#REF!))</f>
        <v>#REF!</v>
      </c>
      <c r="H26" s="78"/>
      <c r="I26" s="68" t="e">
        <f>IF(OR($E$26="",$E$26&gt;100000000,$G$26=""),"NO",IF($G$26&gt;$E$26,"NO","YES"))</f>
        <v>#REF!</v>
      </c>
    </row>
    <row r="27" spans="1:9" ht="12.75" customHeight="1">
      <c r="A27" s="48"/>
      <c r="B27" s="88"/>
      <c r="C27" s="89"/>
      <c r="D27" s="87" t="s">
        <v>19</v>
      </c>
      <c r="E27" s="119">
        <f>IF('単目量'!$E$20="","",'単目量'!$E$20)</f>
        <v>3000</v>
      </c>
      <c r="F27" s="74" t="s">
        <v>15</v>
      </c>
      <c r="G27" s="73" t="e">
        <f>IF(単目量!#REF!="","",IF(単目量!#REF!=0,"",単目量!#REF!/単目量!#REF!))</f>
        <v>#REF!</v>
      </c>
      <c r="H27" s="78"/>
      <c r="I27" s="68" t="e">
        <f>IF(OR($E$27="",$E$27&gt;100000000,$G$27=""),"NO",IF($G$27&gt;$E$27,"NO","YES"))</f>
        <v>#REF!</v>
      </c>
    </row>
    <row r="28" spans="1:9" ht="12.75" customHeight="1" hidden="1">
      <c r="A28" s="48"/>
      <c r="B28" s="88"/>
      <c r="C28" s="76"/>
      <c r="D28" s="87" t="s">
        <v>20</v>
      </c>
      <c r="E28" s="82">
        <v>0</v>
      </c>
      <c r="F28" s="83" t="s">
        <v>15</v>
      </c>
      <c r="G28" s="82">
        <v>0</v>
      </c>
      <c r="H28" s="78"/>
      <c r="I28" s="84"/>
    </row>
    <row r="29" spans="1:9" ht="7.5" customHeight="1">
      <c r="A29" s="48"/>
      <c r="B29" s="59"/>
      <c r="C29" s="59"/>
      <c r="D29" s="59"/>
      <c r="E29" s="90"/>
      <c r="F29" s="91"/>
      <c r="G29" s="90"/>
      <c r="H29" s="78"/>
      <c r="I29" s="92"/>
    </row>
    <row r="30" spans="1:9" ht="10.5" customHeight="1" hidden="1">
      <c r="A30" s="48"/>
      <c r="B30" s="59"/>
      <c r="C30" s="59"/>
      <c r="D30" s="59"/>
      <c r="E30" s="59"/>
      <c r="F30" s="59"/>
      <c r="G30" s="60"/>
      <c r="H30" s="59"/>
      <c r="I30" s="69"/>
    </row>
    <row r="31" spans="1:11" ht="12.75">
      <c r="A31" s="137" t="s">
        <v>70</v>
      </c>
      <c r="B31" s="48"/>
      <c r="C31" s="59"/>
      <c r="D31" s="59"/>
      <c r="E31" s="59"/>
      <c r="F31" s="59"/>
      <c r="G31" s="60"/>
      <c r="H31" s="59"/>
      <c r="I31" s="69"/>
      <c r="K31" s="124" t="s">
        <v>59</v>
      </c>
    </row>
    <row r="32" spans="1:11" s="20" customFormat="1" ht="1.5" customHeight="1">
      <c r="A32" s="48"/>
      <c r="B32" s="59"/>
      <c r="C32" s="59"/>
      <c r="D32" s="59"/>
      <c r="E32" s="59"/>
      <c r="F32" s="59"/>
      <c r="G32" s="60"/>
      <c r="H32" s="59"/>
      <c r="I32" s="69"/>
      <c r="K32" s="122"/>
    </row>
    <row r="33" spans="1:11" ht="12.75" customHeight="1">
      <c r="A33" s="345" t="s">
        <v>85</v>
      </c>
      <c r="B33" s="346"/>
      <c r="C33" s="346"/>
      <c r="D33" s="346"/>
      <c r="E33" s="346"/>
      <c r="F33" s="346"/>
      <c r="G33" s="93" t="e">
        <f>IF('単目量'!$E$11="","DL wanted",IF('単目量'!$E$13="","NUD wanted",IF('単目量'!$E$12="","IZRS wanted",IF(単目量!#REF!="","",IF(単目量!#REF!=0,"",(単目量!#REF!+'単目量'!$E$12+'単目量'!$E$13+'単目量'!$E$11+'単目量'!$E$14)/単目量!#REF!)))))</f>
        <v>#REF!</v>
      </c>
      <c r="H33" s="59"/>
      <c r="I33" s="69"/>
      <c r="K33" s="123" t="e">
        <f>IF(OR('単目量'!$E$11="",'単目量'!$E$13="",'単目量'!$E$12=""),"NO",IF(単目量!#REF!="","",IF(単目量!#REF!=0,"",(単目量!#REF!+'単目量'!$E$12+'単目量'!$E$13+'単目量'!$E$11)/単目量!#REF!)))</f>
        <v>#REF!</v>
      </c>
    </row>
    <row r="34" spans="1:9" ht="12.75" customHeight="1">
      <c r="A34" s="48"/>
      <c r="B34" s="59"/>
      <c r="C34" s="59"/>
      <c r="D34" s="94" t="s">
        <v>54</v>
      </c>
      <c r="E34" s="95"/>
      <c r="F34" s="74" t="s">
        <v>14</v>
      </c>
      <c r="G34" s="72" t="s">
        <v>31</v>
      </c>
      <c r="H34" s="78"/>
      <c r="I34" s="69"/>
    </row>
    <row r="35" spans="1:9" ht="12.75" customHeight="1">
      <c r="A35" s="48"/>
      <c r="B35" s="59"/>
      <c r="C35" s="59"/>
      <c r="D35" s="343" t="e">
        <f>IF('単目量'!$E$10="","R wanted",IF($G$33="","Q wanted",IF('単目量'!$E$9="","Anzahl  N  wanted",($G$33*単目量!#REF!*'単目量'!$E$10)/'単目量'!$E$9)))</f>
        <v>#REF!</v>
      </c>
      <c r="E35" s="344"/>
      <c r="F35" s="74" t="s">
        <v>14</v>
      </c>
      <c r="G35" s="73">
        <f>IF('単目量'!$E$31="","",'単目量'!$E$31)</f>
        <v>30000</v>
      </c>
      <c r="H35" s="78"/>
      <c r="I35" s="68" t="e">
        <f>IF(OR($K$33="NO",$G$33="",$G$35="",$G$35&gt;10000000),"NO",IF($D$35&gt;$G$35,"NO","YES"))</f>
        <v>#REF!</v>
      </c>
    </row>
    <row r="36" spans="1:9" ht="7.5" customHeight="1">
      <c r="A36" s="48"/>
      <c r="B36" s="59"/>
      <c r="C36" s="59"/>
      <c r="D36" s="59"/>
      <c r="E36" s="59"/>
      <c r="F36" s="59"/>
      <c r="G36" s="59"/>
      <c r="H36" s="59"/>
      <c r="I36" s="69"/>
    </row>
    <row r="37" spans="1:9" ht="12.75">
      <c r="A37" s="137" t="s">
        <v>75</v>
      </c>
      <c r="B37" s="48"/>
      <c r="C37" s="59"/>
      <c r="D37" s="59"/>
      <c r="E37" s="59"/>
      <c r="F37" s="59"/>
      <c r="G37" s="59"/>
      <c r="H37" s="59"/>
      <c r="I37" s="69"/>
    </row>
    <row r="38" spans="1:9" ht="1.5" customHeight="1">
      <c r="A38" s="48"/>
      <c r="B38" s="59"/>
      <c r="C38" s="59"/>
      <c r="D38" s="59"/>
      <c r="E38" s="59"/>
      <c r="F38" s="59"/>
      <c r="G38" s="59"/>
      <c r="H38" s="59"/>
      <c r="I38" s="69"/>
    </row>
    <row r="39" spans="1:9" ht="12.75" customHeight="1">
      <c r="A39" s="48"/>
      <c r="B39" s="76"/>
      <c r="C39" s="76"/>
      <c r="D39" s="77"/>
      <c r="E39" s="72" t="s">
        <v>32</v>
      </c>
      <c r="F39" s="74" t="s">
        <v>15</v>
      </c>
      <c r="G39" s="72" t="s">
        <v>30</v>
      </c>
      <c r="H39" s="78"/>
      <c r="I39" s="69"/>
    </row>
    <row r="40" spans="1:9" ht="12.75" customHeight="1" hidden="1" thickBot="1">
      <c r="A40" s="48"/>
      <c r="B40" s="96" t="s">
        <v>22</v>
      </c>
      <c r="C40" s="97"/>
      <c r="D40" s="98"/>
      <c r="E40" s="99">
        <f>'単目量'!E34</f>
        <v>3000</v>
      </c>
      <c r="F40" s="83" t="s">
        <v>15</v>
      </c>
      <c r="G40" s="99" t="e">
        <f>IF(単目量!#REF!=0,0,単目量!#REF!/単目量!#REF!)</f>
        <v>#REF!</v>
      </c>
      <c r="H40" s="78"/>
      <c r="I40" s="84"/>
    </row>
    <row r="41" spans="1:9" ht="12.75" customHeight="1">
      <c r="A41" s="48"/>
      <c r="B41" s="141" t="s">
        <v>91</v>
      </c>
      <c r="C41" s="86"/>
      <c r="D41" s="87" t="s">
        <v>18</v>
      </c>
      <c r="E41" s="119">
        <f>IF('単目量'!$E$34="","",'単目量'!$E$34)</f>
        <v>3000</v>
      </c>
      <c r="F41" s="74" t="s">
        <v>15</v>
      </c>
      <c r="G41" s="66" t="e">
        <f>IF(単目量!#REF!="","",IF(単目量!#REF!=0,"",単目量!#REF!/単目量!#REF!))</f>
        <v>#REF!</v>
      </c>
      <c r="H41" s="78"/>
      <c r="I41" s="68" t="e">
        <f>IF(OR($G$41=0,$G$41="",$E$41="",$E$41&gt;100000000),"NO",IF($G$41&gt;$E$41,"NO","YES"))</f>
        <v>#REF!</v>
      </c>
    </row>
    <row r="42" spans="1:9" ht="12.75" customHeight="1">
      <c r="A42" s="48"/>
      <c r="B42" s="88"/>
      <c r="C42" s="76"/>
      <c r="D42" s="87" t="s">
        <v>19</v>
      </c>
      <c r="E42" s="119">
        <f>IF('単目量'!$E$34="","",'単目量'!$E$34)</f>
        <v>3000</v>
      </c>
      <c r="F42" s="74" t="s">
        <v>15</v>
      </c>
      <c r="G42" s="66" t="e">
        <f>IF(単目量!#REF!="","",IF(単目量!#REF!=0,"",単目量!#REF!/単目量!#REF!))</f>
        <v>#REF!</v>
      </c>
      <c r="H42" s="78"/>
      <c r="I42" s="68" t="e">
        <f>IF(OR($G$42=0,$G$42="",$E$42="",$E$42&gt;100000000),"NO",IF($G$42&gt;$E$42,"NO","YES"))</f>
        <v>#REF!</v>
      </c>
    </row>
    <row r="43" spans="1:9" ht="12.75" customHeight="1" hidden="1">
      <c r="A43" s="48"/>
      <c r="B43" s="88"/>
      <c r="C43" s="76"/>
      <c r="D43" s="87" t="s">
        <v>20</v>
      </c>
      <c r="E43" s="82">
        <v>0</v>
      </c>
      <c r="F43" s="74" t="s">
        <v>15</v>
      </c>
      <c r="G43" s="82">
        <v>0</v>
      </c>
      <c r="H43" s="78"/>
      <c r="I43" s="84"/>
    </row>
    <row r="44" spans="1:9" ht="7.5" customHeight="1">
      <c r="A44" s="48"/>
      <c r="B44" s="59"/>
      <c r="C44" s="59"/>
      <c r="D44" s="59"/>
      <c r="E44" s="90"/>
      <c r="F44" s="91"/>
      <c r="G44" s="90"/>
      <c r="H44" s="78"/>
      <c r="I44" s="92"/>
    </row>
    <row r="45" spans="1:9" ht="15.75">
      <c r="A45" s="138" t="s">
        <v>92</v>
      </c>
      <c r="B45" s="59"/>
      <c r="C45" s="59"/>
      <c r="D45" s="59"/>
      <c r="E45" s="90"/>
      <c r="F45" s="91"/>
      <c r="G45" s="90"/>
      <c r="H45" s="78"/>
      <c r="I45" s="92"/>
    </row>
    <row r="46" spans="1:9" ht="1.5" customHeight="1">
      <c r="A46" s="48"/>
      <c r="B46" s="59"/>
      <c r="C46" s="59"/>
      <c r="D46" s="59"/>
      <c r="E46" s="90"/>
      <c r="F46" s="91"/>
      <c r="G46" s="90"/>
      <c r="H46" s="78"/>
      <c r="I46" s="92"/>
    </row>
    <row r="47" spans="1:9" ht="12.75" customHeight="1">
      <c r="A47" s="48"/>
      <c r="B47" s="59"/>
      <c r="C47" s="59"/>
      <c r="D47" s="94" t="s">
        <v>51</v>
      </c>
      <c r="E47" s="95"/>
      <c r="F47" s="74" t="s">
        <v>15</v>
      </c>
      <c r="G47" s="72" t="s">
        <v>55</v>
      </c>
      <c r="H47" s="78"/>
      <c r="I47" s="92"/>
    </row>
    <row r="48" spans="1:9" ht="12.75" customHeight="1">
      <c r="A48" s="48"/>
      <c r="B48" s="59"/>
      <c r="C48" s="59"/>
      <c r="D48" s="343">
        <f>IF('単目量'!$E$38&lt;&gt;0,'単目量'!$E$38,(IF('単目量'!$E$37&lt;&gt;0,'単目量'!$E$31/(2*'単目量'!$E$37),'単目量'!$E$34)))</f>
        <v>3000</v>
      </c>
      <c r="E48" s="344"/>
      <c r="F48" s="74" t="s">
        <v>15</v>
      </c>
      <c r="G48" s="66" t="e">
        <f>IF(単目量!#REF!="","",IF(単目量!#REF!=0,"",単目量!#REF!/単目量!#REF!))</f>
        <v>#REF!</v>
      </c>
      <c r="H48" s="78"/>
      <c r="I48" s="68" t="e">
        <f>IF(D48&gt;10000000,"NO",IF($G$48="","NO",IF($G$48&gt;$D$48,"NO","YES")))</f>
        <v>#REF!</v>
      </c>
    </row>
    <row r="49" spans="1:9" ht="7.5" customHeight="1">
      <c r="A49" s="48"/>
      <c r="B49" s="59"/>
      <c r="C49" s="59"/>
      <c r="D49" s="49"/>
      <c r="E49" s="100"/>
      <c r="F49" s="91"/>
      <c r="G49" s="90"/>
      <c r="H49" s="78"/>
      <c r="I49" s="92"/>
    </row>
    <row r="50" spans="1:9" ht="15.75" hidden="1">
      <c r="A50" s="48" t="s">
        <v>43</v>
      </c>
      <c r="B50" s="59"/>
      <c r="C50" s="59"/>
      <c r="D50" s="59"/>
      <c r="E50" s="90"/>
      <c r="F50" s="91"/>
      <c r="G50" s="90"/>
      <c r="H50" s="78"/>
      <c r="I50" s="92"/>
    </row>
    <row r="51" spans="1:9" ht="1.5" customHeight="1" hidden="1">
      <c r="A51" s="48"/>
      <c r="B51" s="59"/>
      <c r="C51" s="59"/>
      <c r="D51" s="59"/>
      <c r="E51" s="90"/>
      <c r="F51" s="91"/>
      <c r="G51" s="90"/>
      <c r="H51" s="78"/>
      <c r="I51" s="92"/>
    </row>
    <row r="52" spans="1:9" ht="15" hidden="1">
      <c r="A52" s="48"/>
      <c r="B52" s="59"/>
      <c r="C52" s="59"/>
      <c r="D52" s="94" t="s">
        <v>42</v>
      </c>
      <c r="E52" s="95"/>
      <c r="F52" s="74" t="s">
        <v>15</v>
      </c>
      <c r="G52" s="72" t="s">
        <v>34</v>
      </c>
      <c r="H52" s="78"/>
      <c r="I52" s="92"/>
    </row>
    <row r="53" spans="1:9" ht="12.75" hidden="1">
      <c r="A53" s="48"/>
      <c r="B53" s="59"/>
      <c r="C53" s="59"/>
      <c r="D53" s="350">
        <v>0</v>
      </c>
      <c r="E53" s="351"/>
      <c r="F53" s="74" t="s">
        <v>15</v>
      </c>
      <c r="G53" s="71">
        <v>0</v>
      </c>
      <c r="H53" s="59"/>
      <c r="I53" s="92"/>
    </row>
    <row r="54" spans="1:9" ht="7.5" customHeight="1" hidden="1">
      <c r="A54" s="48"/>
      <c r="B54" s="59"/>
      <c r="C54" s="59"/>
      <c r="D54" s="49"/>
      <c r="E54" s="100"/>
      <c r="F54" s="91"/>
      <c r="G54" s="90"/>
      <c r="H54" s="59"/>
      <c r="I54" s="69"/>
    </row>
    <row r="55" spans="1:9" ht="12.75">
      <c r="A55" s="137" t="s">
        <v>76</v>
      </c>
      <c r="B55" s="48"/>
      <c r="C55" s="59"/>
      <c r="D55" s="59"/>
      <c r="E55" s="59"/>
      <c r="F55" s="59"/>
      <c r="G55" s="59"/>
      <c r="H55" s="59"/>
      <c r="I55" s="69"/>
    </row>
    <row r="56" spans="1:9" ht="1.5" customHeight="1">
      <c r="A56" s="48"/>
      <c r="B56" s="59"/>
      <c r="C56" s="59"/>
      <c r="D56" s="59"/>
      <c r="E56" s="59"/>
      <c r="F56" s="59"/>
      <c r="G56" s="59"/>
      <c r="H56" s="59"/>
      <c r="I56" s="69"/>
    </row>
    <row r="57" spans="1:9" ht="12.75" customHeight="1">
      <c r="A57" s="48"/>
      <c r="B57" s="59"/>
      <c r="C57" s="59"/>
      <c r="D57" s="59"/>
      <c r="E57" s="72" t="s">
        <v>16</v>
      </c>
      <c r="F57" s="74" t="s">
        <v>15</v>
      </c>
      <c r="G57" s="72" t="s">
        <v>35</v>
      </c>
      <c r="H57" s="78"/>
      <c r="I57" s="69"/>
    </row>
    <row r="58" spans="1:9" ht="12.75" customHeight="1">
      <c r="A58" s="48"/>
      <c r="B58" s="59"/>
      <c r="C58" s="59"/>
      <c r="D58" s="59"/>
      <c r="E58" s="73">
        <f>IF('単目量'!$E$9="","",IF('単目量'!$E$9=0,"",'単目量'!$E$11*'単目量'!$E$10/'単目量'!$E$9))</f>
        <v>3000</v>
      </c>
      <c r="F58" s="74" t="s">
        <v>15</v>
      </c>
      <c r="G58" s="73">
        <f>IF('単目量'!$E$32="","",'単目量'!$E$32)</f>
        <v>2000</v>
      </c>
      <c r="H58" s="78"/>
      <c r="I58" s="68" t="str">
        <f>IF(OR($E$58="",$G$58=""),"NO",IF($G$58&gt;$E$58,"NO","YES"))</f>
        <v>YES</v>
      </c>
    </row>
    <row r="59" spans="1:9" ht="7.5" customHeight="1">
      <c r="A59" s="48"/>
      <c r="B59" s="59"/>
      <c r="C59" s="59"/>
      <c r="D59" s="59"/>
      <c r="E59" s="59"/>
      <c r="F59" s="59"/>
      <c r="G59" s="59"/>
      <c r="H59" s="59"/>
      <c r="I59" s="69"/>
    </row>
    <row r="60" spans="1:9" ht="12.75">
      <c r="A60" s="137" t="s">
        <v>77</v>
      </c>
      <c r="B60" s="48"/>
      <c r="C60" s="59"/>
      <c r="D60" s="59"/>
      <c r="E60" s="59"/>
      <c r="F60" s="59"/>
      <c r="G60" s="59"/>
      <c r="H60" s="59"/>
      <c r="I60" s="69"/>
    </row>
    <row r="61" spans="1:9" ht="1.5" customHeight="1">
      <c r="A61" s="48"/>
      <c r="B61" s="59"/>
      <c r="C61" s="59"/>
      <c r="D61" s="59"/>
      <c r="E61" s="59"/>
      <c r="F61" s="59"/>
      <c r="G61" s="59"/>
      <c r="H61" s="59"/>
      <c r="I61" s="69"/>
    </row>
    <row r="62" spans="1:9" ht="12.75" customHeight="1">
      <c r="A62" s="48"/>
      <c r="B62" s="59"/>
      <c r="C62" s="59"/>
      <c r="D62" s="59"/>
      <c r="E62" s="101" t="s">
        <v>49</v>
      </c>
      <c r="F62" s="74" t="s">
        <v>15</v>
      </c>
      <c r="G62" s="72" t="s">
        <v>36</v>
      </c>
      <c r="H62" s="78"/>
      <c r="I62" s="69"/>
    </row>
    <row r="63" spans="1:9" ht="12.75" customHeight="1">
      <c r="A63" s="48"/>
      <c r="B63" s="59"/>
      <c r="C63" s="59"/>
      <c r="D63" s="59"/>
      <c r="E63" s="119" t="e">
        <f>IF('単目量'!$E$9="","",IF('単目量'!$E$9=0,"",単目量!#REF!*'単目量'!$E$10/'単目量'!$E$9^0.5))</f>
        <v>#REF!</v>
      </c>
      <c r="F63" s="74" t="s">
        <v>15</v>
      </c>
      <c r="G63" s="119">
        <f>IF('単目量'!$E$31="","",IF('単目量'!$E$36&lt;&gt;0,'単目量'!$E$31/'単目量'!$E$36,IF('単目量'!$E$35&lt;&gt;0,'単目量'!$E$35,IF('単目量'!$E$34=0,"",'単目量'!$E$31/'単目量'!$E$34))))</f>
        <v>5</v>
      </c>
      <c r="H63" s="78"/>
      <c r="I63" s="68" t="e">
        <f>IF(OR($E$63="",$G$63=""),"NO",IF($G$63&gt;$E$63,"NO","YES"))</f>
        <v>#REF!</v>
      </c>
    </row>
    <row r="64" spans="1:9" ht="7.5" customHeight="1">
      <c r="A64" s="48"/>
      <c r="B64" s="59"/>
      <c r="C64" s="59"/>
      <c r="D64" s="59"/>
      <c r="E64" s="59"/>
      <c r="F64" s="59"/>
      <c r="G64" s="59"/>
      <c r="H64" s="59"/>
      <c r="I64" s="10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52" t="s">
        <v>82</v>
      </c>
      <c r="E67" s="348"/>
      <c r="F67" s="74" t="s">
        <v>15</v>
      </c>
      <c r="G67" s="72" t="s">
        <v>67</v>
      </c>
      <c r="H67" s="78"/>
      <c r="I67" s="103"/>
    </row>
    <row r="68" spans="1:9" ht="12.75" customHeight="1">
      <c r="A68" s="48"/>
      <c r="B68" s="59"/>
      <c r="C68" s="140" t="s">
        <v>81</v>
      </c>
      <c r="D68" s="353">
        <f>IF('単目量'!$E$33="","",IF(OR('単目量'!$E$31=0,'単目量'!$E$9=0),"",'単目量'!$E$33*'単目量'!$E$21*'単目量'!$E$10*'単目量'!$E$11/('単目量'!$E$31*'単目量'!$E$9)))</f>
        <v>0</v>
      </c>
      <c r="E68" s="354"/>
      <c r="F68" s="74" t="s">
        <v>15</v>
      </c>
      <c r="G68" s="73">
        <f>IF('単目量'!$E$22="","",'単目量'!$E$22)</f>
      </c>
      <c r="H68" s="78"/>
      <c r="I68" s="68" t="str">
        <f>IF(OR($D$68&gt;1000000,$G$68="",$D$68=""),"NO",IF($G$68&gt;$D$68,"NO","YES"))</f>
        <v>NO</v>
      </c>
    </row>
    <row r="69" spans="1:9" ht="3.75" customHeight="1">
      <c r="A69" s="48"/>
      <c r="B69" s="59"/>
      <c r="C69" s="134"/>
      <c r="D69" s="132"/>
      <c r="E69" s="133"/>
      <c r="F69" s="113"/>
      <c r="G69" s="114"/>
      <c r="H69" s="78"/>
      <c r="I69" s="131"/>
    </row>
    <row r="70" spans="1:9" ht="12.75" customHeight="1">
      <c r="A70" s="48"/>
      <c r="B70" s="59"/>
      <c r="C70" s="139" t="s">
        <v>88</v>
      </c>
      <c r="D70" s="347" t="s">
        <v>58</v>
      </c>
      <c r="E70" s="348"/>
      <c r="F70" s="74" t="s">
        <v>15</v>
      </c>
      <c r="G70" s="104" t="s">
        <v>37</v>
      </c>
      <c r="H70" s="78"/>
      <c r="I70" s="103"/>
    </row>
    <row r="71" spans="1:9" ht="12.75" customHeight="1">
      <c r="A71" s="48"/>
      <c r="B71" s="59"/>
      <c r="C71" s="135"/>
      <c r="D71" s="349" t="e">
        <f>IF('単目量'!$E$33="","",IF(OR('単目量'!$E$31=0,'単目量'!$E$9=0),"",'単目量'!$E$33*1000*'単目量'!$E$21*'単目量'!$E$10*単目量!#REF!/('単目量'!$E$31*'単目量'!$E$9)))</f>
        <v>#REF!</v>
      </c>
      <c r="E71" s="348"/>
      <c r="F71" s="74" t="s">
        <v>15</v>
      </c>
      <c r="G71" s="73">
        <f>'単目量'!$E$23</f>
        <v>0</v>
      </c>
      <c r="H71" s="78"/>
      <c r="I71" s="68" t="e">
        <f>IF(OR($D$71&gt;1000000,$G$71="",$D$71=""),"NO",IF($G$71&gt;$D$71,"NO","YES"))</f>
        <v>#REF!</v>
      </c>
    </row>
    <row r="72" spans="1:9" ht="7.5" customHeight="1">
      <c r="A72" s="48"/>
      <c r="B72" s="59"/>
      <c r="C72" s="59"/>
      <c r="D72" s="59"/>
      <c r="E72" s="59"/>
      <c r="F72" s="59"/>
      <c r="G72" s="59"/>
      <c r="H72" s="59"/>
      <c r="I72" s="103"/>
    </row>
    <row r="73" spans="1:9" ht="12.75">
      <c r="A73" s="137" t="s">
        <v>78</v>
      </c>
      <c r="B73" s="48"/>
      <c r="C73" s="59"/>
      <c r="D73" s="59"/>
      <c r="E73" s="59"/>
      <c r="F73" s="59"/>
      <c r="G73" s="59"/>
      <c r="H73" s="59"/>
      <c r="I73" s="103"/>
    </row>
    <row r="74" spans="1:9" ht="1.5" customHeight="1">
      <c r="A74" s="48"/>
      <c r="B74" s="59"/>
      <c r="C74" s="59"/>
      <c r="D74" s="59"/>
      <c r="E74" s="59"/>
      <c r="F74" s="59"/>
      <c r="G74" s="59"/>
      <c r="H74" s="59"/>
      <c r="I74" s="103"/>
    </row>
    <row r="75" spans="1:9" ht="12.75" customHeight="1">
      <c r="A75" s="48"/>
      <c r="B75" s="59"/>
      <c r="C75" s="72" t="s">
        <v>38</v>
      </c>
      <c r="D75" s="74" t="s">
        <v>14</v>
      </c>
      <c r="E75" s="72" t="s">
        <v>39</v>
      </c>
      <c r="F75" s="74" t="s">
        <v>14</v>
      </c>
      <c r="G75" s="72" t="s">
        <v>40</v>
      </c>
      <c r="H75" s="78"/>
      <c r="I75" s="103"/>
    </row>
    <row r="76" spans="1:9" ht="12.75" customHeight="1">
      <c r="A76" s="48"/>
      <c r="B76" s="59"/>
      <c r="C76" s="73" t="str">
        <f>IF('単目量'!$E$24="","wanted",'単目量'!$E$24)</f>
        <v>wanted</v>
      </c>
      <c r="D76" s="74" t="s">
        <v>14</v>
      </c>
      <c r="E76" s="73" t="str">
        <f>IF('単目量'!E39="","R LC  wanted",IF('単目量'!$E$9="","",IF('単目量'!$E$9=0,"",'単目量'!$E$39/'単目量'!$E$9)))</f>
        <v>R LC  wanted</v>
      </c>
      <c r="F76" s="74" t="s">
        <v>14</v>
      </c>
      <c r="G76" s="73" t="str">
        <f>IF('単目量'!$F$24&gt;1000000,"wanted",IF('単目量'!$F$24="","wanted",'単目量'!$F$24))</f>
        <v>wanted</v>
      </c>
      <c r="H76" s="78"/>
      <c r="I76" s="68" t="str">
        <f>IF($C$76=0,"NO",IF($G$76="wanted","NO",IF($E$76="","NO",IF($E$76&lt;$C$76,"NO",IF($E$76&gt;$G$76,"NO","YES")))))</f>
        <v>NO</v>
      </c>
    </row>
    <row r="77" spans="1:9" ht="7.5" customHeight="1">
      <c r="A77" s="48"/>
      <c r="B77" s="59"/>
      <c r="C77" s="59"/>
      <c r="D77" s="59"/>
      <c r="E77" s="59"/>
      <c r="F77" s="59"/>
      <c r="G77" s="59"/>
      <c r="H77" s="59"/>
      <c r="I77" s="103"/>
    </row>
    <row r="78" spans="1:9" ht="12.75">
      <c r="A78" s="137" t="s">
        <v>79</v>
      </c>
      <c r="B78" s="48"/>
      <c r="C78" s="59"/>
      <c r="D78" s="59"/>
      <c r="E78" s="59"/>
      <c r="F78" s="59"/>
      <c r="G78" s="59"/>
      <c r="H78" s="59"/>
      <c r="I78" s="103"/>
    </row>
    <row r="79" spans="1:9" ht="1.5" customHeight="1">
      <c r="A79" s="48"/>
      <c r="B79" s="59"/>
      <c r="C79" s="59"/>
      <c r="D79" s="59"/>
      <c r="E79" s="59"/>
      <c r="F79" s="59"/>
      <c r="G79" s="59"/>
      <c r="H79" s="59"/>
      <c r="I79" s="103"/>
    </row>
    <row r="80" spans="1:9" ht="12.75" customHeight="1">
      <c r="A80" s="48"/>
      <c r="B80" s="59"/>
      <c r="C80" s="59"/>
      <c r="D80" s="59"/>
      <c r="E80" s="72" t="s">
        <v>10</v>
      </c>
      <c r="F80" s="74" t="s">
        <v>14</v>
      </c>
      <c r="G80" s="72" t="s">
        <v>52</v>
      </c>
      <c r="H80" s="78"/>
      <c r="I80" s="103"/>
    </row>
    <row r="81" spans="1:9" ht="12.75" customHeight="1">
      <c r="A81" s="48"/>
      <c r="B81" s="59"/>
      <c r="C81" s="59"/>
      <c r="D81" s="59"/>
      <c r="E81" s="102">
        <f>IF(OR('単目量'!$E$17="",'単目量'!$E$17=0),"",'単目量'!$E$16/'単目量'!$E$17)</f>
      </c>
      <c r="F81" s="25" t="s">
        <v>14</v>
      </c>
      <c r="G81" s="102">
        <f>IF('単目量'!$E$28="","",'単目量'!$E$28)</f>
      </c>
      <c r="H81" s="78"/>
      <c r="I81" s="68" t="str">
        <f>IF($G$81&gt;1000000,"NO",IF($G$81="","NO",IF($G$81&lt;$E$81,"NO","YES")))</f>
        <v>NO</v>
      </c>
    </row>
    <row r="82" spans="1:9" ht="9" customHeight="1">
      <c r="A82" s="48"/>
      <c r="B82" s="59"/>
      <c r="C82" s="59"/>
      <c r="D82" s="59"/>
      <c r="E82" s="59"/>
      <c r="F82" s="59"/>
      <c r="G82" s="59"/>
      <c r="H82" s="59"/>
      <c r="I82" s="105"/>
    </row>
    <row r="83" spans="1:9" ht="12.75">
      <c r="A83" s="50" t="s">
        <v>50</v>
      </c>
      <c r="B83" s="106"/>
      <c r="C83" s="107"/>
      <c r="D83" s="107"/>
      <c r="E83" s="136">
        <v>37238</v>
      </c>
      <c r="F83" s="108"/>
      <c r="G83" s="107"/>
      <c r="H83" s="107"/>
      <c r="I83" s="52" t="s">
        <v>65</v>
      </c>
    </row>
    <row r="84" spans="1:9" ht="12.75">
      <c r="A84" s="51" t="s">
        <v>105</v>
      </c>
      <c r="B84" s="17"/>
      <c r="C84" s="109"/>
      <c r="D84" s="109"/>
      <c r="E84" s="109"/>
      <c r="F84" s="109"/>
      <c r="G84" s="109"/>
      <c r="H84" s="109"/>
      <c r="I84" s="109"/>
    </row>
  </sheetData>
  <sheetProtection sheet="1" objects="1" scenarios="1"/>
  <mergeCells count="8">
    <mergeCell ref="D35:E35"/>
    <mergeCell ref="A33:F33"/>
    <mergeCell ref="D70:E70"/>
    <mergeCell ref="D71:E71"/>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7 I35 I41:I42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K84"/>
  <sheetViews>
    <sheetView showGridLines="0" view="pageBreakPreview" zoomScaleSheetLayoutView="100" zoomScalePageLayoutView="0" workbookViewId="0" topLeftCell="A1">
      <selection activeCell="E14" sqref="E14"/>
    </sheetView>
  </sheetViews>
  <sheetFormatPr defaultColWidth="11.421875" defaultRowHeight="12.75"/>
  <cols>
    <col min="1" max="1" width="9.00390625" style="0" customWidth="1"/>
    <col min="2" max="6" width="11.7109375" style="0" customWidth="1"/>
    <col min="7" max="7" width="12.7109375" style="0" customWidth="1"/>
    <col min="8" max="9" width="5.7109375" style="0" customWidth="1"/>
    <col min="10" max="10" width="11.421875" style="0" customWidth="1"/>
    <col min="11" max="11" width="0" style="0" hidden="1" customWidth="1"/>
  </cols>
  <sheetData>
    <row r="1" spans="1:9" ht="14.25">
      <c r="A1" s="53" t="s">
        <v>68</v>
      </c>
      <c r="B1" s="14"/>
      <c r="C1" s="8"/>
      <c r="D1" s="8"/>
      <c r="E1" s="8"/>
      <c r="F1" s="8"/>
      <c r="G1" s="8"/>
      <c r="H1" s="9"/>
      <c r="I1" s="15"/>
    </row>
    <row r="2" spans="1:9" ht="12.75">
      <c r="A2" s="10"/>
      <c r="B2" s="10"/>
      <c r="C2" s="10"/>
      <c r="D2" s="10"/>
      <c r="E2" s="10"/>
      <c r="F2" s="10"/>
      <c r="G2" s="10"/>
      <c r="H2" s="10"/>
      <c r="I2" s="16"/>
    </row>
    <row r="3" spans="1:9" ht="9" customHeight="1">
      <c r="A3" s="20"/>
      <c r="B3" s="20"/>
      <c r="C3" s="20"/>
      <c r="D3" s="20"/>
      <c r="E3" s="20"/>
      <c r="F3" s="20"/>
      <c r="G3" s="20"/>
      <c r="H3" s="20"/>
      <c r="I3" s="46"/>
    </row>
    <row r="4" spans="1:9" ht="12.75">
      <c r="A4" s="47" t="s">
        <v>95</v>
      </c>
      <c r="B4" s="20"/>
      <c r="C4" s="20"/>
      <c r="D4" s="20"/>
      <c r="E4" s="20"/>
      <c r="F4" s="20"/>
      <c r="G4" s="20"/>
      <c r="H4" s="20"/>
      <c r="I4" s="46"/>
    </row>
    <row r="5" spans="1:9" ht="6" customHeight="1">
      <c r="A5" s="20"/>
      <c r="B5" s="20"/>
      <c r="C5" s="20"/>
      <c r="D5" s="20"/>
      <c r="E5" s="20"/>
      <c r="F5" s="20"/>
      <c r="G5" s="20"/>
      <c r="H5" s="20"/>
      <c r="I5" s="46"/>
    </row>
    <row r="6" spans="1:9" ht="13.5" customHeight="1">
      <c r="A6" s="137" t="s">
        <v>86</v>
      </c>
      <c r="B6" s="20"/>
      <c r="C6" s="21"/>
      <c r="D6" s="21"/>
      <c r="E6" s="21"/>
      <c r="F6" s="21"/>
      <c r="G6" s="21"/>
      <c r="H6" s="21"/>
      <c r="I6" s="44" t="s">
        <v>17</v>
      </c>
    </row>
    <row r="7" spans="1:9" s="116" customFormat="1" ht="1.5" customHeight="1">
      <c r="A7" s="117"/>
      <c r="B7" s="121">
        <f>IF(B9="",5,IF('単目量'!E30="A",1,IF('単目量'!E30="B",2,IF('単目量'!E30="C",3,IF('単目量'!E30="D",4,0)))))</f>
        <v>3</v>
      </c>
      <c r="C7" s="121"/>
      <c r="D7" s="121">
        <f>IF(D9="",5,IF('単目量'!E19="I",1,IF('単目量'!E19="II",2,IF('単目量'!E19="III",3,IF('単目量'!E19="IIII",4,0)))))</f>
        <v>0</v>
      </c>
      <c r="E7" s="121"/>
      <c r="F7" s="121"/>
      <c r="G7" s="121">
        <f>IF(G9="",0,IF('単目量'!E6="I",1,IF('単目量'!E6="II",2,IF('単目量'!E6="III",3,IF('単目量'!E6="IIII",4,0)))))</f>
        <v>0</v>
      </c>
      <c r="H7" s="115"/>
      <c r="I7" s="118"/>
    </row>
    <row r="8" spans="1:9" ht="12.75" customHeight="1">
      <c r="A8" s="48"/>
      <c r="B8" s="62" t="s">
        <v>72</v>
      </c>
      <c r="C8" s="62" t="s">
        <v>8</v>
      </c>
      <c r="D8" s="62" t="s">
        <v>73</v>
      </c>
      <c r="E8" s="63" t="s">
        <v>71</v>
      </c>
      <c r="F8" s="64"/>
      <c r="G8" s="65" t="s">
        <v>74</v>
      </c>
      <c r="H8" s="48"/>
      <c r="I8" s="61"/>
    </row>
    <row r="9" spans="1:9" ht="12.75" customHeight="1">
      <c r="A9" s="48"/>
      <c r="B9" s="66" t="str">
        <f>IF('単目量'!$E$30="","",'単目量'!$E$30)</f>
        <v>C</v>
      </c>
      <c r="C9" s="62" t="s">
        <v>8</v>
      </c>
      <c r="D9" s="66" t="str">
        <f>IF('単目量'!$E$19="","",'単目量'!$E$19)</f>
        <v>３級</v>
      </c>
      <c r="E9" s="63" t="s">
        <v>71</v>
      </c>
      <c r="F9" s="67"/>
      <c r="G9" s="66" t="str">
        <f>IF('単目量'!$E$6="","",'単目量'!$E$6)</f>
        <v>３級</v>
      </c>
      <c r="H9" s="48"/>
      <c r="I9" s="68" t="str">
        <f>IF($G$7=0,"NO",IF($B$7&gt;$G$7,"NO",IF($D$7&gt;$G$7,"NO","YES")))</f>
        <v>NO</v>
      </c>
    </row>
    <row r="10" spans="1:9" ht="7.5" customHeight="1">
      <c r="A10" s="48"/>
      <c r="B10" s="59"/>
      <c r="C10" s="59"/>
      <c r="D10" s="59"/>
      <c r="E10" s="59"/>
      <c r="F10" s="59"/>
      <c r="G10" s="59"/>
      <c r="H10" s="21"/>
      <c r="I10" s="30"/>
    </row>
    <row r="11" spans="1:9" ht="12.75">
      <c r="A11" s="137" t="s">
        <v>109</v>
      </c>
      <c r="B11" s="48"/>
      <c r="C11" s="59"/>
      <c r="D11" s="59"/>
      <c r="E11" s="59"/>
      <c r="F11" s="59"/>
      <c r="G11" s="59"/>
      <c r="H11" s="21"/>
      <c r="I11" s="30"/>
    </row>
    <row r="12" spans="1:9" ht="1.5" customHeight="1">
      <c r="A12" s="20"/>
      <c r="B12" s="59"/>
      <c r="C12" s="59"/>
      <c r="D12" s="59"/>
      <c r="E12" s="59"/>
      <c r="F12" s="59"/>
      <c r="G12" s="59"/>
      <c r="H12" s="21"/>
      <c r="I12" s="30"/>
    </row>
    <row r="13" spans="1:9" ht="12.75" customHeight="1">
      <c r="A13" s="20"/>
      <c r="B13" s="70"/>
      <c r="C13" s="71" t="s">
        <v>72</v>
      </c>
      <c r="D13" s="71"/>
      <c r="E13" s="71" t="s">
        <v>73</v>
      </c>
      <c r="F13" s="71"/>
      <c r="G13" s="71" t="s">
        <v>74</v>
      </c>
      <c r="H13" s="21"/>
      <c r="I13" s="30"/>
    </row>
    <row r="14" spans="1:9" ht="12.75" customHeight="1">
      <c r="A14" s="20"/>
      <c r="B14" s="72" t="s">
        <v>23</v>
      </c>
      <c r="C14" s="73">
        <f>IF('単目量'!$E$40="","",'単目量'!$E$40)</f>
        <v>-10</v>
      </c>
      <c r="D14" s="71" t="s">
        <v>8</v>
      </c>
      <c r="E14" s="73">
        <f>IF('単目量'!$E$25="","",'単目量'!$E$25)</f>
        <v>-10</v>
      </c>
      <c r="F14" s="74" t="s">
        <v>14</v>
      </c>
      <c r="G14" s="73">
        <f>IF('単目量'!$E$15="","",'単目量'!$E$15)</f>
        <v>-10</v>
      </c>
      <c r="H14" s="59"/>
      <c r="I14" s="68" t="str">
        <f>IF(OR($G$14="",$G$14&gt;100),"NO",IF($C$14&gt;$G$14,"NO",IF($E$14&gt;$G$14,"NO","YES")))</f>
        <v>YES</v>
      </c>
    </row>
    <row r="15" spans="1:9" ht="12.75" customHeight="1">
      <c r="A15" s="20"/>
      <c r="B15" s="72" t="s">
        <v>24</v>
      </c>
      <c r="C15" s="73">
        <f>IF('単目量'!$F$40="","",'単目量'!$F$40)</f>
        <v>40</v>
      </c>
      <c r="D15" s="71" t="s">
        <v>8</v>
      </c>
      <c r="E15" s="73">
        <f>IF('単目量'!$F$25="","",'単目量'!$F$25)</f>
        <v>40</v>
      </c>
      <c r="F15" s="74" t="s">
        <v>15</v>
      </c>
      <c r="G15" s="73">
        <f>IF('単目量'!$F$15="","",'単目量'!$F$15)</f>
        <v>40</v>
      </c>
      <c r="H15" s="75"/>
      <c r="I15" s="68" t="str">
        <f>IF(OR($C15&gt;150,$E$15&gt;100),"NO",IF($G$15="","NO",IF($C$15&lt;$G$15,"NO",IF($E$15&lt;$G$15,"NO","YES"))))</f>
        <v>YES</v>
      </c>
    </row>
    <row r="16" spans="1:9" ht="7.5" customHeight="1">
      <c r="A16" s="20"/>
      <c r="B16" s="21"/>
      <c r="C16" s="21"/>
      <c r="D16" s="21"/>
      <c r="E16" s="21"/>
      <c r="F16" s="21"/>
      <c r="G16" s="21"/>
      <c r="H16" s="21"/>
      <c r="I16" s="30"/>
    </row>
    <row r="17" spans="1:9" ht="15.75">
      <c r="A17" s="137" t="s">
        <v>83</v>
      </c>
      <c r="B17" s="20"/>
      <c r="C17" s="21"/>
      <c r="D17" s="21"/>
      <c r="E17" s="21"/>
      <c r="F17" s="21"/>
      <c r="G17" s="21"/>
      <c r="H17" s="21"/>
      <c r="I17" s="30"/>
    </row>
    <row r="18" spans="1:9" ht="1.5" customHeight="1">
      <c r="A18" s="48"/>
      <c r="B18" s="21"/>
      <c r="C18" s="21"/>
      <c r="D18" s="21"/>
      <c r="E18" s="21"/>
      <c r="F18" s="21"/>
      <c r="G18" s="21"/>
      <c r="H18" s="21"/>
      <c r="I18" s="30"/>
    </row>
    <row r="19" spans="1:9" ht="12.75" customHeight="1">
      <c r="A19" s="48"/>
      <c r="B19" s="24" t="s">
        <v>25</v>
      </c>
      <c r="C19" s="43" t="s">
        <v>9</v>
      </c>
      <c r="D19" s="24" t="s">
        <v>26</v>
      </c>
      <c r="E19" s="43" t="s">
        <v>9</v>
      </c>
      <c r="F19" s="24" t="s">
        <v>27</v>
      </c>
      <c r="G19" s="25" t="s">
        <v>28</v>
      </c>
      <c r="H19" s="21"/>
      <c r="I19" s="30"/>
    </row>
    <row r="20" spans="1:9" ht="12.75" customHeight="1">
      <c r="A20" s="48"/>
      <c r="B20" s="119">
        <f>IF('単目量'!$E$43="","",'単目量'!$E$43^2)</f>
        <v>0.25</v>
      </c>
      <c r="C20" s="71" t="s">
        <v>9</v>
      </c>
      <c r="D20" s="119">
        <f>IF('単目量'!$E$26="","",'単目量'!$E$26^2)</f>
        <v>0</v>
      </c>
      <c r="E20" s="71" t="s">
        <v>9</v>
      </c>
      <c r="F20" s="119">
        <f>IF('単目量'!$E$41="","",'単目量'!$E$41^2)</f>
        <v>0.6400000000000001</v>
      </c>
      <c r="G20" s="74" t="s">
        <v>28</v>
      </c>
      <c r="H20" s="59"/>
      <c r="I20" s="68" t="str">
        <f>IF(OR($F$20="",$F$20&gt;(0.8)^2,$F$20&lt;(0.3)^2,$D$20="",$D$20&gt;(0.8)^2,$D$20&lt;(0.3)^2,$B$20=""),"NO",IF($B$20+$D$20+$F$20&gt;1,"NO","YES"))</f>
        <v>NO</v>
      </c>
    </row>
    <row r="21" spans="1:9" ht="7.5" customHeight="1">
      <c r="A21" s="48"/>
      <c r="B21" s="21"/>
      <c r="C21" s="21"/>
      <c r="D21" s="21"/>
      <c r="E21" s="21"/>
      <c r="F21" s="21"/>
      <c r="G21" s="21"/>
      <c r="H21" s="21"/>
      <c r="I21" s="30"/>
    </row>
    <row r="22" spans="1:9" ht="12.75">
      <c r="A22" s="137" t="s">
        <v>84</v>
      </c>
      <c r="B22" s="20"/>
      <c r="C22" s="21"/>
      <c r="D22" s="21"/>
      <c r="E22" s="21"/>
      <c r="F22" s="21"/>
      <c r="G22" s="21"/>
      <c r="H22" s="21"/>
      <c r="I22" s="30"/>
    </row>
    <row r="23" spans="1:9" ht="1.5" customHeight="1">
      <c r="A23" s="48"/>
      <c r="B23" s="21"/>
      <c r="C23" s="21"/>
      <c r="D23" s="21"/>
      <c r="E23" s="21"/>
      <c r="F23" s="21"/>
      <c r="G23" s="21"/>
      <c r="H23" s="21"/>
      <c r="I23" s="30"/>
    </row>
    <row r="24" spans="1:9" ht="12.75" customHeight="1">
      <c r="A24" s="48"/>
      <c r="B24" s="27"/>
      <c r="C24" s="27"/>
      <c r="D24" s="35"/>
      <c r="E24" s="24" t="s">
        <v>29</v>
      </c>
      <c r="F24" s="25" t="s">
        <v>15</v>
      </c>
      <c r="G24" s="24" t="s">
        <v>30</v>
      </c>
      <c r="H24" s="26"/>
      <c r="I24" s="30"/>
    </row>
    <row r="25" spans="1:9" ht="12.75" customHeight="1" hidden="1" thickBot="1">
      <c r="A25" s="48"/>
      <c r="B25" s="18" t="s">
        <v>22</v>
      </c>
      <c r="C25" s="33"/>
      <c r="D25" s="45"/>
      <c r="E25" s="11">
        <f>'単目量'!E20</f>
        <v>3000</v>
      </c>
      <c r="F25" s="6" t="s">
        <v>15</v>
      </c>
      <c r="G25" s="11" t="e">
        <f>IF(単目量!#REF!=0,0,単目量!#REF!/単目量!#REF!)</f>
        <v>#REF!</v>
      </c>
      <c r="H25" s="13"/>
      <c r="I25" s="5"/>
    </row>
    <row r="26" spans="1:9" ht="12.75" customHeight="1">
      <c r="A26" s="48"/>
      <c r="B26" s="141" t="s">
        <v>93</v>
      </c>
      <c r="C26" s="34"/>
      <c r="D26" s="36" t="s">
        <v>18</v>
      </c>
      <c r="E26" s="119">
        <f>IF('単目量'!$E$20="","",'単目量'!$E$20)</f>
        <v>3000</v>
      </c>
      <c r="F26" s="25" t="s">
        <v>15</v>
      </c>
      <c r="G26" s="73" t="e">
        <f>IF(単目量!#REF!="","",IF(単目量!#REF!=0,"",単目量!#REF!/単目量!#REF!))</f>
        <v>#REF!</v>
      </c>
      <c r="H26" s="26"/>
      <c r="I26" s="68" t="e">
        <f>IF(OR($E$26="",$E$26&gt;100000000,$G$26=""),"NO",IF($G$26&gt;$E$26,"NO","YES"))</f>
        <v>#REF!</v>
      </c>
    </row>
    <row r="27" spans="1:9" ht="12.75" customHeight="1">
      <c r="A27" s="48"/>
      <c r="B27" s="19"/>
      <c r="C27" s="34"/>
      <c r="D27" s="36" t="s">
        <v>19</v>
      </c>
      <c r="E27" s="119">
        <f>IF('単目量'!$E$20="","",'単目量'!$E$20)</f>
        <v>3000</v>
      </c>
      <c r="F27" s="25" t="s">
        <v>15</v>
      </c>
      <c r="G27" s="73" t="e">
        <f>IF(単目量!#REF!="","",IF(単目量!#REF!=0,"",単目量!#REF!/単目量!#REF!))</f>
        <v>#REF!</v>
      </c>
      <c r="H27" s="26"/>
      <c r="I27" s="68" t="e">
        <f>IF(OR($E$27="",$E$27&gt;100000000,$G$27=""),"NO",IF($G$27&gt;$E$27,"NO","YES"))</f>
        <v>#REF!</v>
      </c>
    </row>
    <row r="28" spans="1:9" ht="12.75" customHeight="1">
      <c r="A28" s="48"/>
      <c r="B28" s="28"/>
      <c r="C28" s="27"/>
      <c r="D28" s="36" t="s">
        <v>20</v>
      </c>
      <c r="E28" s="119">
        <f>IF('単目量'!$E$20="","",'単目量'!$E$20)</f>
        <v>3000</v>
      </c>
      <c r="F28" s="25" t="s">
        <v>15</v>
      </c>
      <c r="G28" s="73" t="e">
        <f>IF(単目量!#REF!="","",IF(単目量!#REF!=0,"",単目量!#REF!/単目量!#REF!))</f>
        <v>#REF!</v>
      </c>
      <c r="H28" s="26"/>
      <c r="I28" s="68" t="e">
        <f>IF(OR($E$28="",$E$28&gt;100000000,$G$28=""),"NO",IF($G$28&gt;$E$28,"NO","YES"))</f>
        <v>#REF!</v>
      </c>
    </row>
    <row r="29" spans="1:9" ht="7.5" customHeight="1">
      <c r="A29" s="48"/>
      <c r="B29" s="21"/>
      <c r="C29" s="21"/>
      <c r="D29" s="21"/>
      <c r="E29" s="38"/>
      <c r="F29" s="32"/>
      <c r="G29" s="38"/>
      <c r="H29" s="26"/>
      <c r="I29" s="40"/>
    </row>
    <row r="30" spans="1:9" ht="10.5" customHeight="1" hidden="1">
      <c r="A30" s="48"/>
      <c r="B30" s="21"/>
      <c r="C30" s="21"/>
      <c r="D30" s="21"/>
      <c r="E30" s="21"/>
      <c r="F30" s="21"/>
      <c r="G30" s="44"/>
      <c r="H30" s="21"/>
      <c r="I30" s="30"/>
    </row>
    <row r="31" spans="1:11" s="20" customFormat="1" ht="12.75">
      <c r="A31" s="137" t="s">
        <v>70</v>
      </c>
      <c r="C31" s="21"/>
      <c r="D31" s="21"/>
      <c r="E31" s="21"/>
      <c r="F31" s="21"/>
      <c r="G31" s="44"/>
      <c r="H31" s="21"/>
      <c r="I31" s="30"/>
      <c r="K31" s="122" t="s">
        <v>59</v>
      </c>
    </row>
    <row r="32" spans="2:11" s="20" customFormat="1" ht="1.5" customHeight="1">
      <c r="B32" s="21"/>
      <c r="C32" s="21"/>
      <c r="D32" s="21"/>
      <c r="E32" s="21"/>
      <c r="F32" s="21"/>
      <c r="G32" s="44"/>
      <c r="H32" s="21"/>
      <c r="I32" s="30"/>
      <c r="K32" s="122"/>
    </row>
    <row r="33" spans="1:11" s="20" customFormat="1" ht="12.75" customHeight="1">
      <c r="A33" s="345" t="s">
        <v>94</v>
      </c>
      <c r="B33" s="346"/>
      <c r="C33" s="346"/>
      <c r="D33" s="346"/>
      <c r="E33" s="346"/>
      <c r="F33" s="346"/>
      <c r="G33" s="93" t="e">
        <f>IF('単目量'!$E$11="","DL wanted",IF('単目量'!$E$13="","NUD wanted",IF('単目量'!$E$12="","IZRS wanted",IF(単目量!#REF!="","",IF(単目量!#REF!=0,"",(単目量!#REF!+'単目量'!$E$12+'単目量'!$E$13+'単目量'!$E$11+'単目量'!$E$14)/単目量!#REF!)))))</f>
        <v>#REF!</v>
      </c>
      <c r="H33" s="59"/>
      <c r="I33" s="69"/>
      <c r="J33"/>
      <c r="K33" s="123" t="e">
        <f>IF(OR('単目量'!$E$11="",'単目量'!$E$13="",'単目量'!$E$12=""),"NO",IF(単目量!#REF!="","",IF(単目量!#REF!=0,"",(単目量!#REF!+'単目量'!$E$12+'単目量'!$E$13+'単目量'!$E$11)/単目量!#REF!)))</f>
        <v>#REF!</v>
      </c>
    </row>
    <row r="34" spans="1:9" ht="12.75" customHeight="1">
      <c r="A34" s="20"/>
      <c r="B34" s="21"/>
      <c r="C34" s="21"/>
      <c r="D34" s="37" t="s">
        <v>56</v>
      </c>
      <c r="E34" s="39"/>
      <c r="F34" s="25" t="s">
        <v>14</v>
      </c>
      <c r="G34" s="24" t="s">
        <v>31</v>
      </c>
      <c r="H34" s="26"/>
      <c r="I34" s="30"/>
    </row>
    <row r="35" spans="1:9" ht="12.75" customHeight="1">
      <c r="A35" s="20"/>
      <c r="B35" s="21"/>
      <c r="C35" s="21"/>
      <c r="D35" s="343" t="e">
        <f>IF('単目量'!$E$10="","R wanted",IF($G$33="","Q wanted",IF('単目量'!$E$9="","Anzahl  N  wanted",($G$33*単目量!#REF!*'単目量'!$E$10)/'単目量'!$E$9)))</f>
        <v>#REF!</v>
      </c>
      <c r="E35" s="344"/>
      <c r="F35" s="25" t="s">
        <v>14</v>
      </c>
      <c r="G35" s="73">
        <f>IF('単目量'!$E$31="","",'単目量'!$E$31)</f>
        <v>30000</v>
      </c>
      <c r="H35" s="26"/>
      <c r="I35" s="68" t="e">
        <f>IF(OR($K$33="NO",$G$33="",$G$35="",$G$35&gt;10000000),"NO",IF($D$35&gt;$G$35,"NO","YES"))</f>
        <v>#REF!</v>
      </c>
    </row>
    <row r="36" spans="1:9" ht="7.5" customHeight="1">
      <c r="A36" s="20"/>
      <c r="B36" s="21"/>
      <c r="C36" s="21"/>
      <c r="D36" s="21"/>
      <c r="E36" s="21"/>
      <c r="F36" s="21"/>
      <c r="G36" s="21"/>
      <c r="H36" s="21"/>
      <c r="I36" s="30"/>
    </row>
    <row r="37" spans="1:9" ht="12.75">
      <c r="A37" s="137" t="s">
        <v>75</v>
      </c>
      <c r="B37" s="20"/>
      <c r="C37" s="21"/>
      <c r="D37" s="21"/>
      <c r="E37" s="21"/>
      <c r="F37" s="21"/>
      <c r="G37" s="21"/>
      <c r="H37" s="21"/>
      <c r="I37" s="30"/>
    </row>
    <row r="38" spans="1:9" ht="1.5" customHeight="1">
      <c r="A38" s="48"/>
      <c r="B38" s="21"/>
      <c r="C38" s="21"/>
      <c r="D38" s="21"/>
      <c r="E38" s="21"/>
      <c r="F38" s="21"/>
      <c r="G38" s="21"/>
      <c r="H38" s="21"/>
      <c r="I38" s="30"/>
    </row>
    <row r="39" spans="1:9" ht="12.75" customHeight="1">
      <c r="A39" s="48"/>
      <c r="B39" s="27"/>
      <c r="C39" s="27"/>
      <c r="D39" s="35"/>
      <c r="E39" s="24" t="s">
        <v>32</v>
      </c>
      <c r="F39" s="25" t="s">
        <v>15</v>
      </c>
      <c r="G39" s="24" t="s">
        <v>30</v>
      </c>
      <c r="H39" s="26"/>
      <c r="I39" s="30"/>
    </row>
    <row r="40" spans="1:9" ht="12.75" customHeight="1" hidden="1" thickBot="1">
      <c r="A40" s="48"/>
      <c r="B40" s="18" t="s">
        <v>22</v>
      </c>
      <c r="C40" s="33"/>
      <c r="D40" s="12"/>
      <c r="E40" s="7">
        <f>'単目量'!E34</f>
        <v>3000</v>
      </c>
      <c r="F40" s="25" t="s">
        <v>15</v>
      </c>
      <c r="G40" s="7" t="e">
        <f>IF(単目量!#REF!=0,0,単目量!#REF!/単目量!#REF!)</f>
        <v>#REF!</v>
      </c>
      <c r="H40" s="26"/>
      <c r="I40" s="5"/>
    </row>
    <row r="41" spans="1:9" ht="12.75" customHeight="1">
      <c r="A41" s="48"/>
      <c r="B41" s="141" t="s">
        <v>93</v>
      </c>
      <c r="C41" s="34"/>
      <c r="D41" s="36" t="s">
        <v>18</v>
      </c>
      <c r="E41" s="119">
        <f>IF('単目量'!$E$34="","",'単目量'!$E$34)</f>
        <v>3000</v>
      </c>
      <c r="F41" s="25" t="s">
        <v>15</v>
      </c>
      <c r="G41" s="66" t="e">
        <f>IF(単目量!#REF!="","",IF(単目量!#REF!=0,"",単目量!#REF!/単目量!#REF!))</f>
        <v>#REF!</v>
      </c>
      <c r="H41" s="26"/>
      <c r="I41" s="68" t="e">
        <f>IF(OR($G$41=0,$G$41="",$E$41="",$E$41&gt;100000000),"NO",IF($G$41&gt;$E$41,"NO","YES"))</f>
        <v>#REF!</v>
      </c>
    </row>
    <row r="42" spans="1:9" ht="12.75" customHeight="1">
      <c r="A42" s="48"/>
      <c r="B42" s="19"/>
      <c r="C42" s="34"/>
      <c r="D42" s="36" t="s">
        <v>19</v>
      </c>
      <c r="E42" s="119">
        <f>IF('単目量'!$E$34="","",'単目量'!$E$34)</f>
        <v>3000</v>
      </c>
      <c r="F42" s="25" t="s">
        <v>15</v>
      </c>
      <c r="G42" s="66" t="e">
        <f>IF(単目量!#REF!="","",IF(単目量!#REF!=0,"",単目量!#REF!/単目量!#REF!))</f>
        <v>#REF!</v>
      </c>
      <c r="H42" s="26"/>
      <c r="I42" s="68" t="e">
        <f>IF(OR($G$42=0,$G$42="",$E$42="",$E$42&gt;100000000),"NO",IF($G$42&gt;$E$42,"NO","YES"))</f>
        <v>#REF!</v>
      </c>
    </row>
    <row r="43" spans="1:9" ht="12.75" customHeight="1">
      <c r="A43" s="48"/>
      <c r="B43" s="28"/>
      <c r="C43" s="27"/>
      <c r="D43" s="36" t="s">
        <v>20</v>
      </c>
      <c r="E43" s="119">
        <f>IF('単目量'!$E$34="","",'単目量'!$E$34)</f>
        <v>3000</v>
      </c>
      <c r="F43" s="25" t="s">
        <v>15</v>
      </c>
      <c r="G43" s="66" t="e">
        <f>IF(単目量!#REF!="","",IF(単目量!#REF!=0,"",単目量!#REF!/単目量!#REF!))</f>
        <v>#REF!</v>
      </c>
      <c r="H43" s="26"/>
      <c r="I43" s="68" t="e">
        <f>IF(OR($G$43=0,$G$43="",$E$43="",$E$43&gt;100000000),"NO",IF($G$43&gt;$E$43,"NO","YES"))</f>
        <v>#REF!</v>
      </c>
    </row>
    <row r="44" spans="1:9" ht="7.5" customHeight="1">
      <c r="A44" s="48"/>
      <c r="B44" s="21"/>
      <c r="C44" s="21"/>
      <c r="D44" s="21"/>
      <c r="E44" s="38"/>
      <c r="F44" s="32"/>
      <c r="G44" s="38"/>
      <c r="H44" s="26"/>
      <c r="I44" s="40"/>
    </row>
    <row r="45" spans="1:9" ht="15.75">
      <c r="A45" s="138" t="s">
        <v>92</v>
      </c>
      <c r="B45" s="21"/>
      <c r="C45" s="21"/>
      <c r="D45" s="21"/>
      <c r="E45" s="38"/>
      <c r="F45" s="32"/>
      <c r="G45" s="38"/>
      <c r="H45" s="26"/>
      <c r="I45" s="40"/>
    </row>
    <row r="46" spans="1:9" ht="1.5" customHeight="1">
      <c r="A46" s="20"/>
      <c r="B46" s="21"/>
      <c r="C46" s="21"/>
      <c r="D46" s="21"/>
      <c r="E46" s="38"/>
      <c r="F46" s="32"/>
      <c r="G46" s="38"/>
      <c r="H46" s="26"/>
      <c r="I46" s="40"/>
    </row>
    <row r="47" spans="1:9" ht="12.75" customHeight="1">
      <c r="A47" s="20"/>
      <c r="B47" s="21"/>
      <c r="C47" s="21"/>
      <c r="D47" s="37" t="s">
        <v>51</v>
      </c>
      <c r="E47" s="39"/>
      <c r="F47" s="25" t="s">
        <v>15</v>
      </c>
      <c r="G47" s="24" t="s">
        <v>57</v>
      </c>
      <c r="H47" s="26"/>
      <c r="I47" s="40"/>
    </row>
    <row r="48" spans="1:9" ht="12.75" customHeight="1">
      <c r="A48" s="20"/>
      <c r="B48" s="21"/>
      <c r="C48" s="21"/>
      <c r="D48" s="343">
        <f>IF('単目量'!$E$38&lt;&gt;0,'単目量'!$E$38,(IF('単目量'!$E$37&lt;&gt;0,'単目量'!$E$31/(2*'単目量'!$E$37),'単目量'!$E$34)))</f>
        <v>3000</v>
      </c>
      <c r="E48" s="344"/>
      <c r="F48" s="25" t="s">
        <v>15</v>
      </c>
      <c r="G48" s="66" t="e">
        <f>IF(単目量!#REF!="","",IF(単目量!#REF!=0,"",単目量!#REF!/単目量!#REF!))</f>
        <v>#REF!</v>
      </c>
      <c r="H48" s="26"/>
      <c r="I48" s="68" t="e">
        <f>IF(D48&gt;10000000,"NO",IF($G$48="","NO",IF($G$48&gt;$D$48,"NO","YES")))</f>
        <v>#REF!</v>
      </c>
    </row>
    <row r="49" spans="1:9" ht="7.5" customHeight="1">
      <c r="A49" s="20"/>
      <c r="B49" s="21"/>
      <c r="C49" s="21"/>
      <c r="D49" s="41"/>
      <c r="E49" s="42"/>
      <c r="F49" s="32"/>
      <c r="G49" s="38"/>
      <c r="H49" s="26"/>
      <c r="I49" s="40"/>
    </row>
    <row r="50" spans="1:9" ht="15.75" hidden="1">
      <c r="A50" s="20" t="s">
        <v>46</v>
      </c>
      <c r="B50" s="21"/>
      <c r="C50" s="21"/>
      <c r="D50" s="21"/>
      <c r="E50" s="38"/>
      <c r="F50" s="32"/>
      <c r="G50" s="38"/>
      <c r="H50" s="26"/>
      <c r="I50" s="40"/>
    </row>
    <row r="51" spans="1:9" ht="1.5" customHeight="1" hidden="1">
      <c r="A51" s="20"/>
      <c r="B51" s="21"/>
      <c r="C51" s="21"/>
      <c r="D51" s="21"/>
      <c r="E51" s="38"/>
      <c r="F51" s="32"/>
      <c r="G51" s="38"/>
      <c r="H51" s="26"/>
      <c r="I51" s="40"/>
    </row>
    <row r="52" spans="1:9" ht="15" hidden="1">
      <c r="A52" s="20"/>
      <c r="B52" s="21"/>
      <c r="C52" s="21"/>
      <c r="D52" s="37" t="s">
        <v>42</v>
      </c>
      <c r="E52" s="39"/>
      <c r="F52" s="25" t="s">
        <v>15</v>
      </c>
      <c r="G52" s="24" t="s">
        <v>34</v>
      </c>
      <c r="H52" s="26"/>
      <c r="I52" s="40"/>
    </row>
    <row r="53" spans="1:9" ht="12.75" hidden="1">
      <c r="A53" s="20"/>
      <c r="B53" s="21"/>
      <c r="C53" s="21"/>
      <c r="D53" s="359">
        <v>0</v>
      </c>
      <c r="E53" s="360"/>
      <c r="F53" s="25" t="s">
        <v>15</v>
      </c>
      <c r="G53" s="43">
        <v>0</v>
      </c>
      <c r="H53" s="21"/>
      <c r="I53" s="40"/>
    </row>
    <row r="54" spans="1:9" ht="7.5" customHeight="1" hidden="1">
      <c r="A54" s="20"/>
      <c r="B54" s="21"/>
      <c r="C54" s="21"/>
      <c r="D54" s="41"/>
      <c r="E54" s="42"/>
      <c r="F54" s="32"/>
      <c r="G54" s="38"/>
      <c r="H54" s="21"/>
      <c r="I54" s="30"/>
    </row>
    <row r="55" spans="1:9" ht="12.75">
      <c r="A55" s="137" t="s">
        <v>76</v>
      </c>
      <c r="B55" s="20"/>
      <c r="C55" s="21"/>
      <c r="D55" s="21"/>
      <c r="E55" s="21"/>
      <c r="F55" s="21"/>
      <c r="G55" s="21"/>
      <c r="H55" s="21"/>
      <c r="I55" s="30"/>
    </row>
    <row r="56" spans="1:9" ht="1.5" customHeight="1">
      <c r="A56" s="48"/>
      <c r="B56" s="21"/>
      <c r="C56" s="21"/>
      <c r="D56" s="21"/>
      <c r="E56" s="21"/>
      <c r="F56" s="21"/>
      <c r="G56" s="21"/>
      <c r="H56" s="21"/>
      <c r="I56" s="30"/>
    </row>
    <row r="57" spans="1:9" ht="12.75" customHeight="1">
      <c r="A57" s="48"/>
      <c r="B57" s="21"/>
      <c r="C57" s="21"/>
      <c r="D57" s="21"/>
      <c r="E57" s="24" t="s">
        <v>16</v>
      </c>
      <c r="F57" s="25" t="s">
        <v>15</v>
      </c>
      <c r="G57" s="24" t="s">
        <v>35</v>
      </c>
      <c r="H57" s="26"/>
      <c r="I57" s="30"/>
    </row>
    <row r="58" spans="1:9" ht="12.75" customHeight="1">
      <c r="A58" s="48"/>
      <c r="B58" s="21"/>
      <c r="C58" s="21"/>
      <c r="D58" s="21"/>
      <c r="E58" s="73">
        <f>IF('単目量'!$E$9="","",IF('単目量'!$E$9=0,"",'単目量'!$E$11*'単目量'!$E$10/'単目量'!$E$9))</f>
        <v>3000</v>
      </c>
      <c r="F58" s="74" t="s">
        <v>15</v>
      </c>
      <c r="G58" s="73">
        <f>IF('単目量'!$E$32="","",'単目量'!$E$32)</f>
        <v>2000</v>
      </c>
      <c r="H58" s="26"/>
      <c r="I58" s="68" t="str">
        <f>IF(OR($E$58="",$G$58=""),"NO",IF($G$58&gt;$E$58,"NO","YES"))</f>
        <v>YES</v>
      </c>
    </row>
    <row r="59" spans="1:9" ht="7.5" customHeight="1">
      <c r="A59" s="48"/>
      <c r="B59" s="21"/>
      <c r="C59" s="21"/>
      <c r="D59" s="21"/>
      <c r="E59" s="21"/>
      <c r="F59" s="21"/>
      <c r="G59" s="21"/>
      <c r="H59" s="21"/>
      <c r="I59" s="30"/>
    </row>
    <row r="60" spans="1:9" ht="12.75">
      <c r="A60" s="137" t="s">
        <v>77</v>
      </c>
      <c r="B60" s="20"/>
      <c r="C60" s="21"/>
      <c r="D60" s="21"/>
      <c r="E60" s="21"/>
      <c r="F60" s="21"/>
      <c r="G60" s="21"/>
      <c r="H60" s="21"/>
      <c r="I60" s="30"/>
    </row>
    <row r="61" spans="1:9" ht="1.5" customHeight="1">
      <c r="A61" s="20"/>
      <c r="B61" s="21"/>
      <c r="C61" s="21"/>
      <c r="D61" s="21"/>
      <c r="E61" s="21"/>
      <c r="F61" s="21"/>
      <c r="G61" s="21"/>
      <c r="H61" s="21"/>
      <c r="I61" s="30"/>
    </row>
    <row r="62" spans="1:9" ht="12.75" customHeight="1">
      <c r="A62" s="20"/>
      <c r="B62" s="21"/>
      <c r="C62" s="21"/>
      <c r="D62" s="21"/>
      <c r="E62" s="31" t="s">
        <v>49</v>
      </c>
      <c r="F62" s="25" t="s">
        <v>15</v>
      </c>
      <c r="G62" s="24" t="s">
        <v>36</v>
      </c>
      <c r="H62" s="26"/>
      <c r="I62" s="30"/>
    </row>
    <row r="63" spans="1:9" ht="12.75" customHeight="1">
      <c r="A63" s="20"/>
      <c r="B63" s="21"/>
      <c r="C63" s="21"/>
      <c r="D63" s="21"/>
      <c r="E63" s="119" t="e">
        <f>IF('単目量'!$E$9="","",IF('単目量'!$E$9=0,"",単目量!#REF!*'単目量'!$E$10/'単目量'!$E$9^0.5))</f>
        <v>#REF!</v>
      </c>
      <c r="F63" s="25" t="s">
        <v>15</v>
      </c>
      <c r="G63" s="119">
        <f>IF('単目量'!$E$31="","",IF('単目量'!$E$36&lt;&gt;0,'単目量'!$E$31/'単目量'!$E$36,IF('単目量'!$E$35&lt;&gt;0,'単目量'!$E$35,IF('単目量'!$E$34=0,"",'単目量'!$E$31/'単目量'!$E$34))))</f>
        <v>5</v>
      </c>
      <c r="H63" s="26"/>
      <c r="I63" s="68" t="e">
        <f>IF(OR($E$63="",$G$63=""),"NO",IF($G$63&gt;$E$63,"NO","YES"))</f>
        <v>#REF!</v>
      </c>
    </row>
    <row r="64" spans="1:9" ht="7.5" customHeight="1">
      <c r="A64" s="20"/>
      <c r="B64" s="21"/>
      <c r="C64" s="21"/>
      <c r="D64" s="21"/>
      <c r="E64" s="21"/>
      <c r="F64" s="21"/>
      <c r="G64" s="21"/>
      <c r="H64" s="21"/>
      <c r="I64" s="23"/>
    </row>
    <row r="65" spans="1:9" ht="12.75">
      <c r="A65" s="137" t="s">
        <v>89</v>
      </c>
      <c r="B65" s="48"/>
      <c r="C65" s="59"/>
      <c r="D65" s="59"/>
      <c r="E65" s="59"/>
      <c r="F65" s="59"/>
      <c r="G65" s="59"/>
      <c r="H65" s="59"/>
      <c r="I65" s="103"/>
    </row>
    <row r="66" spans="1:9" ht="1.5" customHeight="1">
      <c r="A66" s="48"/>
      <c r="B66" s="59"/>
      <c r="C66" s="59"/>
      <c r="D66" s="59"/>
      <c r="E66" s="59"/>
      <c r="F66" s="59"/>
      <c r="G66" s="59"/>
      <c r="H66" s="59"/>
      <c r="I66" s="103"/>
    </row>
    <row r="67" spans="1:9" ht="12.75" customHeight="1">
      <c r="A67" s="48"/>
      <c r="B67" s="59"/>
      <c r="C67" s="139" t="s">
        <v>80</v>
      </c>
      <c r="D67" s="352" t="s">
        <v>82</v>
      </c>
      <c r="E67" s="348"/>
      <c r="F67" s="74" t="s">
        <v>15</v>
      </c>
      <c r="G67" s="72" t="s">
        <v>67</v>
      </c>
      <c r="H67" s="78"/>
      <c r="I67" s="103"/>
    </row>
    <row r="68" spans="1:9" ht="12.75" customHeight="1">
      <c r="A68" s="48"/>
      <c r="B68" s="59"/>
      <c r="C68" s="140" t="s">
        <v>81</v>
      </c>
      <c r="D68" s="353">
        <f>IF('単目量'!$E$33="","",IF(OR('単目量'!$E$31=0,'単目量'!$E$9=0),"",'単目量'!$E$33*'単目量'!$E$21*'単目量'!$E$10*'単目量'!$E$11/('単目量'!$E$31*'単目量'!$E$9)))</f>
        <v>0</v>
      </c>
      <c r="E68" s="354"/>
      <c r="F68" s="74" t="s">
        <v>15</v>
      </c>
      <c r="G68" s="73">
        <f>IF('単目量'!$E$22="","",'単目量'!$E$22)</f>
      </c>
      <c r="H68" s="78"/>
      <c r="I68" s="68" t="str">
        <f>IF(OR($D$68&gt;1000000,$G$68="",$D$68=""),"NO",IF($G$68&gt;$D$68,"NO","YES"))</f>
        <v>NO</v>
      </c>
    </row>
    <row r="69" spans="1:9" ht="3.75" customHeight="1">
      <c r="A69" s="48"/>
      <c r="B69" s="59"/>
      <c r="C69" s="134"/>
      <c r="D69" s="132"/>
      <c r="E69" s="133"/>
      <c r="F69" s="113"/>
      <c r="G69" s="114"/>
      <c r="H69" s="78"/>
      <c r="I69" s="131"/>
    </row>
    <row r="70" spans="1:9" ht="12.75" customHeight="1">
      <c r="A70" s="48"/>
      <c r="B70" s="59"/>
      <c r="C70" s="139" t="s">
        <v>88</v>
      </c>
      <c r="D70" s="347" t="s">
        <v>58</v>
      </c>
      <c r="E70" s="348"/>
      <c r="F70" s="25" t="s">
        <v>15</v>
      </c>
      <c r="G70" s="29" t="s">
        <v>37</v>
      </c>
      <c r="H70" s="26"/>
      <c r="I70" s="23"/>
    </row>
    <row r="71" spans="1:9" ht="12.75" customHeight="1">
      <c r="A71" s="20"/>
      <c r="B71" s="21"/>
      <c r="C71" s="21"/>
      <c r="D71" s="349" t="e">
        <f>IF('単目量'!$E$33="","",IF(OR('単目量'!$E$31=0,'単目量'!$E$9=0),"",'単目量'!$E$33*1000*'単目量'!$E$21*'単目量'!$E$10*単目量!#REF!/('単目量'!$E$31*'単目量'!$E$9)))</f>
        <v>#REF!</v>
      </c>
      <c r="E71" s="348"/>
      <c r="F71" s="25" t="s">
        <v>15</v>
      </c>
      <c r="G71" s="73">
        <f>'単目量'!$E$23</f>
        <v>0</v>
      </c>
      <c r="H71" s="26"/>
      <c r="I71" s="68" t="e">
        <f>IF(OR($D$71&gt;1000000,$G$71="",$D$71=""),"NO",IF($G$71&gt;$D$71,"NO","YES"))</f>
        <v>#REF!</v>
      </c>
    </row>
    <row r="72" spans="1:9" ht="7.5" customHeight="1">
      <c r="A72" s="20"/>
      <c r="B72" s="21"/>
      <c r="C72" s="21"/>
      <c r="D72" s="21"/>
      <c r="E72" s="21"/>
      <c r="F72" s="21"/>
      <c r="G72" s="21"/>
      <c r="H72" s="21"/>
      <c r="I72" s="23"/>
    </row>
    <row r="73" spans="1:9" ht="12.75">
      <c r="A73" s="137" t="s">
        <v>78</v>
      </c>
      <c r="B73" s="20"/>
      <c r="C73" s="21"/>
      <c r="D73" s="21"/>
      <c r="E73" s="21"/>
      <c r="F73" s="21"/>
      <c r="G73" s="21"/>
      <c r="H73" s="21"/>
      <c r="I73" s="23"/>
    </row>
    <row r="74" spans="1:9" ht="1.5" customHeight="1">
      <c r="A74" s="48"/>
      <c r="B74" s="21"/>
      <c r="C74" s="21"/>
      <c r="D74" s="21"/>
      <c r="E74" s="21"/>
      <c r="F74" s="21"/>
      <c r="G74" s="21"/>
      <c r="H74" s="21"/>
      <c r="I74" s="23"/>
    </row>
    <row r="75" spans="1:9" ht="12.75" customHeight="1">
      <c r="A75" s="48"/>
      <c r="B75" s="21"/>
      <c r="C75" s="24" t="s">
        <v>38</v>
      </c>
      <c r="D75" s="25" t="s">
        <v>14</v>
      </c>
      <c r="E75" s="24" t="s">
        <v>39</v>
      </c>
      <c r="F75" s="25" t="s">
        <v>14</v>
      </c>
      <c r="G75" s="24" t="s">
        <v>40</v>
      </c>
      <c r="H75" s="26"/>
      <c r="I75" s="23"/>
    </row>
    <row r="76" spans="1:9" ht="12.75" customHeight="1">
      <c r="A76" s="48"/>
      <c r="B76" s="21"/>
      <c r="C76" s="73" t="str">
        <f>IF('単目量'!$E$24="","wanted",'単目量'!$E$24)</f>
        <v>wanted</v>
      </c>
      <c r="D76" s="74" t="s">
        <v>14</v>
      </c>
      <c r="E76" s="73" t="str">
        <f>IF('単目量'!E39="","R LC  wanted",IF('単目量'!$E$9="","",IF('単目量'!$E$9=0,"",'単目量'!$E$39/'単目量'!$E$9)))</f>
        <v>R LC  wanted</v>
      </c>
      <c r="F76" s="74" t="s">
        <v>14</v>
      </c>
      <c r="G76" s="73" t="str">
        <f>IF('単目量'!$F$24&gt;1000000,"wanted",IF('単目量'!$F$24="","wanted",'単目量'!$F$24))</f>
        <v>wanted</v>
      </c>
      <c r="H76" s="78"/>
      <c r="I76" s="68" t="str">
        <f>IF($C$76=0,"NO",IF($G$76="wanted","NO",IF($E$76="","NO",IF($E$76&lt;$C$76,"NO",IF($E$76&gt;$G$76,"NO","YES")))))</f>
        <v>NO</v>
      </c>
    </row>
    <row r="77" spans="1:9" ht="7.5" customHeight="1">
      <c r="A77" s="48"/>
      <c r="B77" s="21"/>
      <c r="C77" s="21"/>
      <c r="D77" s="21"/>
      <c r="E77" s="21"/>
      <c r="F77" s="21"/>
      <c r="G77" s="21"/>
      <c r="H77" s="21"/>
      <c r="I77" s="23"/>
    </row>
    <row r="78" spans="1:9" ht="12.75">
      <c r="A78" s="137" t="s">
        <v>79</v>
      </c>
      <c r="B78" s="20"/>
      <c r="C78" s="21"/>
      <c r="D78" s="21"/>
      <c r="E78" s="21"/>
      <c r="F78" s="21"/>
      <c r="G78" s="21"/>
      <c r="H78" s="21"/>
      <c r="I78" s="23"/>
    </row>
    <row r="79" spans="1:9" ht="1.5" customHeight="1">
      <c r="A79" s="20"/>
      <c r="B79" s="21"/>
      <c r="C79" s="21"/>
      <c r="D79" s="21"/>
      <c r="E79" s="21"/>
      <c r="F79" s="21"/>
      <c r="G79" s="21"/>
      <c r="H79" s="21"/>
      <c r="I79" s="23"/>
    </row>
    <row r="80" spans="1:9" ht="12.75" customHeight="1">
      <c r="A80" s="20"/>
      <c r="B80" s="21"/>
      <c r="C80" s="21"/>
      <c r="D80" s="21"/>
      <c r="E80" s="24" t="s">
        <v>10</v>
      </c>
      <c r="F80" s="25" t="s">
        <v>14</v>
      </c>
      <c r="G80" s="24" t="s">
        <v>52</v>
      </c>
      <c r="H80" s="26"/>
      <c r="I80" s="23"/>
    </row>
    <row r="81" spans="1:9" ht="12.75" customHeight="1">
      <c r="A81" s="20"/>
      <c r="B81" s="21"/>
      <c r="C81" s="21"/>
      <c r="D81" s="21"/>
      <c r="E81" s="102">
        <f>IF(OR('単目量'!$E$17="",'単目量'!$E$17=0),"",'単目量'!$E$16/'単目量'!$E$17)</f>
      </c>
      <c r="F81" s="25" t="s">
        <v>14</v>
      </c>
      <c r="G81" s="102">
        <f>IF('単目量'!$E$28="","",'単目量'!$E$28)</f>
      </c>
      <c r="H81" s="78"/>
      <c r="I81" s="68" t="str">
        <f>IF($G$81&gt;1000000,"NO",IF($G$81="","NO",IF($G$81&lt;$E$81,"NO","YES")))</f>
        <v>NO</v>
      </c>
    </row>
    <row r="82" spans="2:9" s="20" customFormat="1" ht="9" customHeight="1">
      <c r="B82" s="21"/>
      <c r="C82" s="21"/>
      <c r="D82" s="21"/>
      <c r="E82" s="21"/>
      <c r="F82" s="21"/>
      <c r="G82" s="21"/>
      <c r="H82" s="21"/>
      <c r="I82" s="22"/>
    </row>
    <row r="83" spans="1:9" ht="12.75">
      <c r="A83" s="50" t="s">
        <v>50</v>
      </c>
      <c r="B83" s="4"/>
      <c r="C83" s="2"/>
      <c r="D83" s="2"/>
      <c r="E83" s="136">
        <v>37238</v>
      </c>
      <c r="F83" s="3"/>
      <c r="G83" s="2"/>
      <c r="H83" s="2"/>
      <c r="I83" s="52" t="s">
        <v>64</v>
      </c>
    </row>
    <row r="84" spans="1:9" ht="12.75">
      <c r="A84" s="51" t="s">
        <v>106</v>
      </c>
      <c r="C84" s="1"/>
      <c r="D84" s="1"/>
      <c r="E84" s="1"/>
      <c r="F84" s="1"/>
      <c r="G84" s="1"/>
      <c r="H84" s="1"/>
      <c r="I84" s="1"/>
    </row>
  </sheetData>
  <sheetProtection sheet="1" objects="1" scenarios="1"/>
  <mergeCells count="8">
    <mergeCell ref="D35:E35"/>
    <mergeCell ref="A33:F33"/>
    <mergeCell ref="D71:E71"/>
    <mergeCell ref="D70:E70"/>
    <mergeCell ref="D48:E48"/>
    <mergeCell ref="D53:E53"/>
    <mergeCell ref="D67:E67"/>
    <mergeCell ref="D68:E68"/>
  </mergeCells>
  <conditionalFormatting sqref="I10">
    <cfRule type="cellIs" priority="1" dxfId="1" operator="equal" stopIfTrue="1">
      <formula>"NEIN"</formula>
    </cfRule>
  </conditionalFormatting>
  <conditionalFormatting sqref="I69">
    <cfRule type="cellIs" priority="2" dxfId="1" operator="equal" stopIfTrue="1">
      <formula>"NEIN"</formula>
    </cfRule>
    <cfRule type="cellIs" priority="3" dxfId="0" operator="equal" stopIfTrue="1">
      <formula>""</formula>
    </cfRule>
  </conditionalFormatting>
  <conditionalFormatting sqref="I9 I14:I15 I20 I26:I28 I35 I41:I43 I48 I58 I63 I68 I71 I76 I81">
    <cfRule type="cellIs" priority="4" dxfId="1" operator="equal" stopIfTrue="1">
      <formula>"NO"</formula>
    </cfRule>
    <cfRule type="cellIs" priority="5" dxfId="0" operator="equal" stopIfTrue="1">
      <formula>""</formula>
    </cfRule>
  </conditionalFormatting>
  <printOptions/>
  <pageMargins left="0.7874015748031497" right="0.1968503937007874" top="0.5905511811023623"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6"/>
  <dimension ref="A2:A10"/>
  <sheetViews>
    <sheetView zoomScalePageLayoutView="0" workbookViewId="0" topLeftCell="A1">
      <selection activeCell="A9" sqref="A9"/>
    </sheetView>
  </sheetViews>
  <sheetFormatPr defaultColWidth="11.421875" defaultRowHeight="12.75"/>
  <sheetData>
    <row r="2" ht="12.75">
      <c r="A2" t="s">
        <v>96</v>
      </c>
    </row>
    <row r="3" ht="12.75">
      <c r="A3" t="s">
        <v>97</v>
      </c>
    </row>
    <row r="4" ht="12.75">
      <c r="A4" t="s">
        <v>98</v>
      </c>
    </row>
    <row r="5" ht="12.75">
      <c r="A5" t="s">
        <v>99</v>
      </c>
    </row>
    <row r="6" ht="12.75">
      <c r="A6" t="s">
        <v>100</v>
      </c>
    </row>
    <row r="10" ht="12.75">
      <c r="A10">
        <v>1</v>
      </c>
    </row>
  </sheetData>
  <sheetProtection/>
  <printOptions/>
  <pageMargins left="0.787" right="0.787" top="0.984" bottom="0.984"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Baden Württemberg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Soe</dc:creator>
  <cp:keywords/>
  <dc:description>letzte Korr. Mß, PTB 04.07.2002</dc:description>
  <cp:lastModifiedBy>Tomoko_fukuzaki</cp:lastModifiedBy>
  <cp:lastPrinted>2010-07-04T05:41:01Z</cp:lastPrinted>
  <dcterms:created xsi:type="dcterms:W3CDTF">2000-07-13T12:47:53Z</dcterms:created>
  <dcterms:modified xsi:type="dcterms:W3CDTF">2012-07-02T08:24:38Z</dcterms:modified>
  <cp:category/>
  <cp:version/>
  <cp:contentType/>
  <cp:contentStatus/>
</cp:coreProperties>
</file>