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<sst xmlns="http://schemas.openxmlformats.org/spreadsheetml/2006/main" count="254" uniqueCount="170">
  <si>
    <t>Run1</t>
  </si>
  <si>
    <t>y</t>
  </si>
  <si>
    <t>x</t>
  </si>
  <si>
    <t>Run2</t>
  </si>
  <si>
    <t>Run3</t>
  </si>
  <si>
    <t>y</t>
  </si>
  <si>
    <t>i</t>
  </si>
  <si>
    <t>Σyi.=</t>
  </si>
  <si>
    <t>=Σxi.</t>
  </si>
  <si>
    <t>ΣΣyij=</t>
  </si>
  <si>
    <t>=ΣΣxij</t>
  </si>
  <si>
    <t>y^2</t>
  </si>
  <si>
    <t>x^2</t>
  </si>
  <si>
    <t>yx</t>
  </si>
  <si>
    <t>Σyi.^2=</t>
  </si>
  <si>
    <t>=Σyi.xi.</t>
  </si>
  <si>
    <t>統計量の計算</t>
  </si>
  <si>
    <t>CTy=(ΣΣyij)^2/N=(ΣΣyij)^2/(n1+n2+n3)=</t>
  </si>
  <si>
    <t>CTx=(ΣΣxij)^2/N=(ΣΣxij)^2/(n1+n2+n3)=</t>
  </si>
  <si>
    <t>CTyx=(ΣΣyij)(ΣΣxij)/N=(ΣΣyij)(ΣΣxij)/(n1+n2+n3)=</t>
  </si>
  <si>
    <t>全変動</t>
  </si>
  <si>
    <t>STy=ΣΣyij^2-CTy=</t>
  </si>
  <si>
    <t>STx=ΣΣxij^2-CTx=</t>
  </si>
  <si>
    <t>STyx=ΣΣyij^xij-CTyx=</t>
  </si>
  <si>
    <t>ΣΣyij^2=</t>
  </si>
  <si>
    <t>ΣΣxij^2=</t>
  </si>
  <si>
    <t>=ΣΣyijxij</t>
  </si>
  <si>
    <t>水準間変動</t>
  </si>
  <si>
    <t>水準内変動</t>
  </si>
  <si>
    <t>SEx=STX-SAX=</t>
  </si>
  <si>
    <t>SEy=STy-SAy=</t>
  </si>
  <si>
    <t>SEyx=STyx-SAyx=</t>
  </si>
  <si>
    <t>総計</t>
  </si>
  <si>
    <t>(n1Σxijyij-Σy1jΣx1j)^2/[n1{n1Σx1j^2-(Σx1j)^2}]=</t>
  </si>
  <si>
    <t>SBx=</t>
  </si>
  <si>
    <t>SNP=SBx-(SEyx)^2/SEx=</t>
  </si>
  <si>
    <t>SE'=SEy-SBx=</t>
  </si>
  <si>
    <t>非平行性の変動</t>
  </si>
  <si>
    <t>平方和</t>
  </si>
  <si>
    <t>自由度</t>
  </si>
  <si>
    <t>自由度</t>
  </si>
  <si>
    <t>平均平方</t>
  </si>
  <si>
    <t>F0</t>
  </si>
  <si>
    <t>残差変動</t>
  </si>
  <si>
    <t>SNP</t>
  </si>
  <si>
    <t>SE'</t>
  </si>
  <si>
    <t>a-1</t>
  </si>
  <si>
    <t>N-2a</t>
  </si>
  <si>
    <t>VNP=SNP/(a-1)</t>
  </si>
  <si>
    <t>VE'=SE'/(N-2a)</t>
  </si>
  <si>
    <t>VNP/VE'</t>
  </si>
  <si>
    <t>回帰直線の平行性の検定（仮説H0：β1=β2=β3=β）</t>
  </si>
  <si>
    <t>F0=VNP/VE'=</t>
  </si>
  <si>
    <t>F(α=0.05,a-a,N-2a)=</t>
  </si>
  <si>
    <t>回帰の有意性の検定（仮説H0：β=0）</t>
  </si>
  <si>
    <t>F0</t>
  </si>
  <si>
    <t>回帰による変動</t>
  </si>
  <si>
    <t>(SEyx)^2/SEx</t>
  </si>
  <si>
    <t>SEy-(SEyx)^2/SEx</t>
  </si>
  <si>
    <t>N-a-1</t>
  </si>
  <si>
    <t>VR=(SEyx)^2/SEx</t>
  </si>
  <si>
    <t>VE={SEySEx-(SEyx)^2}/{(N-a-1)SEx}</t>
  </si>
  <si>
    <t>VR/VE</t>
  </si>
  <si>
    <t>F0=VR/VE=</t>
  </si>
  <si>
    <t>F(α=0.05,1,N-a-1)=</t>
  </si>
  <si>
    <t>水準間の変動</t>
  </si>
  <si>
    <t>水準内の変動</t>
  </si>
  <si>
    <t>SA={STy-(STyx)^2/STx}-{SEy-(SEyx)^2/SEx}</t>
  </si>
  <si>
    <t>a-1</t>
  </si>
  <si>
    <t>VA=SA/(a-1)</t>
  </si>
  <si>
    <t>VA/VE</t>
  </si>
  <si>
    <t>水準A1,A2,A3間の差の検定（仮説H0：α1=α2=α3=α）</t>
  </si>
  <si>
    <t>F0=VA/VE=</t>
  </si>
  <si>
    <t>F(α=0.05,a-1,N-a-1)=</t>
  </si>
  <si>
    <t>回帰係数βの区間推定</t>
  </si>
  <si>
    <t>N=n1+n2+n3=</t>
  </si>
  <si>
    <t>SEx=</t>
  </si>
  <si>
    <t>VE=</t>
  </si>
  <si>
    <t>b=SEyx/SEx=</t>
  </si>
  <si>
    <t>回帰係数βの100(1-α)%信頼区間</t>
  </si>
  <si>
    <t>b-t(α/2,N-a-1)√(VE/SEx)≦β≦b+t(α/2,N-a-1)√(VE/SEx)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</si>
  <si>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</si>
  <si>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</si>
  <si>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</si>
  <si>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</si>
  <si>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</si>
  <si>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</si>
  <si>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</si>
  <si>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</si>
  <si>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</si>
  <si>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</si>
  <si>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</si>
  <si>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</si>
  <si>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</si>
  <si>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</si>
  <si>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</si>
  <si>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</si>
  <si>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</si>
  <si>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</si>
  <si>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</si>
  <si>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</si>
  <si>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</si>
  <si>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</si>
  <si>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</si>
  <si>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</t>
  </si>
  <si>
    <t>残差出力</t>
  </si>
  <si>
    <t>観測値</t>
  </si>
  <si>
    <t>予測値 : y</t>
  </si>
  <si>
    <t>x</t>
  </si>
  <si>
    <t>y^2</t>
  </si>
  <si>
    <t>xy</t>
  </si>
  <si>
    <t>a</t>
  </si>
  <si>
    <t>N</t>
  </si>
  <si>
    <t>CTy</t>
  </si>
  <si>
    <t>CTx</t>
  </si>
  <si>
    <t>STy</t>
  </si>
  <si>
    <t>STx</t>
  </si>
  <si>
    <t>STyx</t>
  </si>
  <si>
    <t>CTyx</t>
  </si>
  <si>
    <t>SAy</t>
  </si>
  <si>
    <t>SAx</t>
  </si>
  <si>
    <t>SAyx</t>
  </si>
  <si>
    <t>SEy</t>
  </si>
  <si>
    <t>SEx</t>
  </si>
  <si>
    <t>SEyx</t>
  </si>
  <si>
    <t>SNP</t>
  </si>
  <si>
    <t>平方和</t>
  </si>
  <si>
    <t>F</t>
  </si>
  <si>
    <t>F</t>
  </si>
  <si>
    <t>非平行性の変動</t>
  </si>
  <si>
    <t>和</t>
  </si>
  <si>
    <t>Si(xx)</t>
  </si>
  <si>
    <t>Si(xy)</t>
  </si>
  <si>
    <t>Si(yy)</t>
  </si>
  <si>
    <t>b</t>
  </si>
  <si>
    <t>f</t>
  </si>
  <si>
    <t>Se</t>
  </si>
  <si>
    <t>差</t>
  </si>
  <si>
    <t>l+1</t>
  </si>
  <si>
    <t>l+2</t>
  </si>
  <si>
    <t>l+3</t>
  </si>
  <si>
    <t>l+4</t>
  </si>
  <si>
    <t>l+5</t>
  </si>
  <si>
    <t>F</t>
  </si>
  <si>
    <t>SBx</t>
  </si>
  <si>
    <t>SAy=(Σy1j)^2/n1+(Σy2j)^2/n2+(Σy3j)^2/n3-CTy=</t>
  </si>
  <si>
    <t>SAx=(Σx1j)^2/n1+(Σx2j)^2/n2+(Σx3j)^2/n3-CTx=</t>
  </si>
  <si>
    <t>SAyx=(Σy1j)(Σx1j)/n1+(Σy2j)(Σx2j)/n2+(Σy3j)(Σx3j)/n3-CTyx=</t>
  </si>
  <si>
    <t>&lt;</t>
  </si>
  <si>
    <t>&gt;</t>
  </si>
  <si>
    <t>よって仮説H0は棄却できない（３本の回帰直線は互いに平行になっている）</t>
  </si>
  <si>
    <t>よって仮説H0は棄却できる（回帰直線の傾きβは0ではない）</t>
  </si>
  <si>
    <t>よって仮説H0は棄却できる（水準（Run）間に有意差がある）</t>
  </si>
  <si>
    <t>σ(b)^2=VE/SEx=</t>
  </si>
  <si>
    <t>σ(b)=√(VE/SEx)=</t>
  </si>
  <si>
    <t>x_=</t>
  </si>
  <si>
    <t>y_=</t>
  </si>
  <si>
    <t>３個の水準（Run 1～3）間でそれぞれの回帰直線y=a(i)+b(i)xの回帰係数βの有意性、平行性、水準間有意差などを検定する</t>
  </si>
  <si>
    <t>共分散分析（DNA_1)</t>
  </si>
  <si>
    <t>(a=y_-bx_=</t>
  </si>
  <si>
    <t>)　←水準間に有意差があるから回帰係数aはa1,a2,a3の３種がある</t>
  </si>
  <si>
    <t>x1_=</t>
  </si>
  <si>
    <t>y1_=</t>
  </si>
  <si>
    <t>a1=</t>
  </si>
  <si>
    <t>y2_=</t>
  </si>
  <si>
    <t>a2=</t>
  </si>
  <si>
    <t>x2_=</t>
  </si>
  <si>
    <t>x3_=</t>
  </si>
  <si>
    <t>y3_=</t>
  </si>
  <si>
    <t>a3=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</si>
</sst>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Continuous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 観測値グラフ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Sheet1!$C$11:$C$28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Sheet1!$B$11:$B$28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予測値 :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Sheet1!$C$11:$C$28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Sheet1!$N$33:$N$50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2547532"/>
        <c:axId val="26056877"/>
      </c:scatterChart>
      <c:valAx>
        <c:axId val="625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56877"/>
        <c:crosses val="autoZero"/>
        <c:crossBetween val="midCat"/>
        <c:dispUnits/>
      </c:val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7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8</xdr:row>
      <xdr:rowOff>0</xdr:rowOff>
    </xdr:from>
    <xdr:to>
      <xdr:col>27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878550" y="1381125"/>
        <a:ext cx="41148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workbookViewId="0" topLeftCell="A130">
      <selection activeCell="E150" sqref="E150"/>
    </sheetView>
  </sheetViews>
  <sheetFormatPr defaultColWidth="9.00390625" defaultRowHeight="13.5"/>
  <cols>
    <col min="1" max="1" width="17.375" style="0" customWidth="1"/>
    <col min="2" max="2" width="38.125" style="0" customWidth="1"/>
    <col min="4" max="4" width="30.25390625" style="0" customWidth="1"/>
  </cols>
  <sheetData>
    <row r="1" ht="13.5">
      <c r="A1" s="47" t="s">
        <v>158</v>
      </c>
    </row>
    <row r="2" ht="13.5">
      <c r="A2" t="s">
        <v>157</v>
      </c>
    </row>
    <row r="8" ht="14.25" thickBot="1"/>
    <row r="9" spans="2:13" ht="14.25" thickBot="1">
      <c r="B9" s="2" t="s">
        <v>0</v>
      </c>
      <c r="C9" s="3"/>
      <c r="D9" s="2" t="s">
        <v>3</v>
      </c>
      <c r="E9" s="3"/>
      <c r="F9" s="2" t="s">
        <v>4</v>
      </c>
      <c r="G9" s="3"/>
      <c r="M9" t="s">
        <v>81</v>
      </c>
    </row>
    <row r="10" spans="1:7" ht="14.25" thickBot="1">
      <c r="A10" s="14" t="s">
        <v>6</v>
      </c>
      <c r="B10" s="15" t="s">
        <v>5</v>
      </c>
      <c r="C10" s="16" t="s">
        <v>2</v>
      </c>
      <c r="D10" s="15" t="s">
        <v>1</v>
      </c>
      <c r="E10" s="16" t="s">
        <v>2</v>
      </c>
      <c r="F10" s="15" t="s">
        <v>5</v>
      </c>
      <c r="G10" s="16" t="s">
        <v>2</v>
      </c>
    </row>
    <row r="11" spans="1:14" ht="13.5">
      <c r="A11" s="13">
        <v>1</v>
      </c>
      <c r="B11" s="20">
        <v>33.660473</v>
      </c>
      <c r="C11" s="21">
        <v>-5.301029995663981</v>
      </c>
      <c r="D11" s="22">
        <v>34.209627</v>
      </c>
      <c r="E11" s="17">
        <v>-5.301029995663981</v>
      </c>
      <c r="F11" s="20">
        <v>33.401113</v>
      </c>
      <c r="G11" s="21">
        <v>-5.301029995663981</v>
      </c>
      <c r="M11" s="46" t="s">
        <v>82</v>
      </c>
      <c r="N11" s="46"/>
    </row>
    <row r="12" spans="1:14" ht="13.5">
      <c r="A12" s="11">
        <v>2</v>
      </c>
      <c r="B12" s="7">
        <v>33.644222</v>
      </c>
      <c r="C12" s="8">
        <v>-5.301029995663981</v>
      </c>
      <c r="D12" s="23">
        <v>34.079914</v>
      </c>
      <c r="E12" s="18">
        <v>-5.301029995663981</v>
      </c>
      <c r="F12" s="7">
        <v>33.076537</v>
      </c>
      <c r="G12" s="8">
        <v>-5.301029995663981</v>
      </c>
      <c r="M12" s="43" t="s">
        <v>83</v>
      </c>
      <c r="N12" s="43">
        <v>0.998318043958928</v>
      </c>
    </row>
    <row r="13" spans="1:14" ht="13.5">
      <c r="A13" s="11">
        <v>3</v>
      </c>
      <c r="B13" s="7">
        <v>32.153448</v>
      </c>
      <c r="C13" s="8">
        <v>-5.301029995663981</v>
      </c>
      <c r="D13" s="23">
        <v>33.663247</v>
      </c>
      <c r="E13" s="18">
        <v>-5.301029995663981</v>
      </c>
      <c r="F13" s="7">
        <v>33.588914</v>
      </c>
      <c r="G13" s="8">
        <v>-5.301029995663981</v>
      </c>
      <c r="M13" s="43" t="s">
        <v>84</v>
      </c>
      <c r="N13" s="43">
        <v>0.99663891689398</v>
      </c>
    </row>
    <row r="14" spans="1:14" ht="13.5">
      <c r="A14" s="11">
        <v>4</v>
      </c>
      <c r="B14" s="7">
        <v>30.242362</v>
      </c>
      <c r="C14" s="8">
        <v>-4.301029995663981</v>
      </c>
      <c r="D14" s="23">
        <v>31.148068</v>
      </c>
      <c r="E14" s="18">
        <v>-4.301029995663981</v>
      </c>
      <c r="F14" s="7">
        <v>30.16767</v>
      </c>
      <c r="G14" s="8">
        <v>-4.301029995663981</v>
      </c>
      <c r="M14" s="43" t="s">
        <v>85</v>
      </c>
      <c r="N14" s="43">
        <v>0.9964288491998536</v>
      </c>
    </row>
    <row r="15" spans="1:14" ht="13.5">
      <c r="A15" s="11">
        <v>5</v>
      </c>
      <c r="B15" s="7">
        <v>30.311377</v>
      </c>
      <c r="C15" s="8">
        <v>-4.301029995663981</v>
      </c>
      <c r="D15" s="23">
        <v>31.203103</v>
      </c>
      <c r="E15" s="18">
        <v>-4.301029995663981</v>
      </c>
      <c r="F15" s="7">
        <v>30.145107</v>
      </c>
      <c r="G15" s="8">
        <v>-4.301029995663981</v>
      </c>
      <c r="M15" s="43" t="s">
        <v>86</v>
      </c>
      <c r="N15" s="43">
        <v>0.34131576839452565</v>
      </c>
    </row>
    <row r="16" spans="1:14" ht="14.25" thickBot="1">
      <c r="A16" s="11">
        <v>6</v>
      </c>
      <c r="B16" s="7">
        <v>30.28933</v>
      </c>
      <c r="C16" s="8">
        <v>-4.301029995663981</v>
      </c>
      <c r="D16" s="23">
        <v>31.164929</v>
      </c>
      <c r="E16" s="18">
        <v>-4.301029995663981</v>
      </c>
      <c r="F16" s="7">
        <v>30.252591</v>
      </c>
      <c r="G16" s="8">
        <v>-4.301029995663981</v>
      </c>
      <c r="M16" s="44" t="s">
        <v>87</v>
      </c>
      <c r="N16" s="44">
        <v>18</v>
      </c>
    </row>
    <row r="17" spans="1:7" ht="13.5">
      <c r="A17" s="11">
        <v>7</v>
      </c>
      <c r="B17" s="7">
        <v>27.061438</v>
      </c>
      <c r="C17" s="8">
        <v>-3.3010299956639813</v>
      </c>
      <c r="D17" s="23">
        <v>27.816874</v>
      </c>
      <c r="E17" s="18">
        <v>-3.3010299956639813</v>
      </c>
      <c r="F17" s="7">
        <v>26.759277</v>
      </c>
      <c r="G17" s="8">
        <v>-3.3010299956639813</v>
      </c>
    </row>
    <row r="18" spans="1:13" ht="14.25" thickBot="1">
      <c r="A18" s="11">
        <v>8</v>
      </c>
      <c r="B18" s="7">
        <v>26.948425</v>
      </c>
      <c r="C18" s="8">
        <v>-3.3010299956639813</v>
      </c>
      <c r="D18" s="23">
        <v>27.751061</v>
      </c>
      <c r="E18" s="18">
        <v>-3.3010299956639813</v>
      </c>
      <c r="F18" s="7">
        <v>26.819949</v>
      </c>
      <c r="G18" s="8">
        <v>-3.3010299956639813</v>
      </c>
      <c r="M18" t="s">
        <v>88</v>
      </c>
    </row>
    <row r="19" spans="1:18" ht="13.5">
      <c r="A19" s="11">
        <v>9</v>
      </c>
      <c r="B19" s="7">
        <v>26.952996</v>
      </c>
      <c r="C19" s="8">
        <v>-3.3010299956639813</v>
      </c>
      <c r="D19" s="23">
        <v>27.791137</v>
      </c>
      <c r="E19" s="18">
        <v>-3.3010299956639813</v>
      </c>
      <c r="F19" s="7">
        <v>26.789897</v>
      </c>
      <c r="G19" s="8">
        <v>-3.3010299956639813</v>
      </c>
      <c r="M19" s="45"/>
      <c r="N19" s="45" t="s">
        <v>39</v>
      </c>
      <c r="O19" s="45" t="s">
        <v>93</v>
      </c>
      <c r="P19" s="45" t="s">
        <v>94</v>
      </c>
      <c r="Q19" s="45" t="s">
        <v>95</v>
      </c>
      <c r="R19" s="45" t="s">
        <v>96</v>
      </c>
    </row>
    <row r="20" spans="1:18" ht="13.5">
      <c r="A20" s="11">
        <v>10</v>
      </c>
      <c r="B20" s="7">
        <v>23.571494</v>
      </c>
      <c r="C20" s="8">
        <v>-2.3010299956639813</v>
      </c>
      <c r="D20" s="23">
        <v>24.384861</v>
      </c>
      <c r="E20" s="18">
        <v>-2.3010299956639813</v>
      </c>
      <c r="F20" s="7">
        <v>23.487427</v>
      </c>
      <c r="G20" s="8">
        <v>-2.3010299956639813</v>
      </c>
      <c r="M20" s="43" t="s">
        <v>89</v>
      </c>
      <c r="N20" s="43">
        <v>1</v>
      </c>
      <c r="O20" s="43">
        <v>552.7023085345841</v>
      </c>
      <c r="P20" s="43">
        <v>552.7023085345841</v>
      </c>
      <c r="Q20" s="43">
        <v>4744.370242360873</v>
      </c>
      <c r="R20" s="43">
        <v>3.2031875564548144E-21</v>
      </c>
    </row>
    <row r="21" spans="1:18" ht="13.5">
      <c r="A21" s="11">
        <v>11</v>
      </c>
      <c r="B21" s="7">
        <v>23.538154</v>
      </c>
      <c r="C21" s="8">
        <v>-2.3010299956639813</v>
      </c>
      <c r="D21" s="23">
        <v>24.376683</v>
      </c>
      <c r="E21" s="18">
        <v>-2.3010299956639813</v>
      </c>
      <c r="F21" s="7">
        <v>23.433903</v>
      </c>
      <c r="G21" s="8">
        <v>-2.3010299956639813</v>
      </c>
      <c r="M21" s="43" t="s">
        <v>90</v>
      </c>
      <c r="N21" s="43">
        <v>16</v>
      </c>
      <c r="O21" s="43">
        <v>1.8639432600759278</v>
      </c>
      <c r="P21" s="43">
        <v>0.11649645375474549</v>
      </c>
      <c r="Q21" s="43"/>
      <c r="R21" s="43"/>
    </row>
    <row r="22" spans="1:18" ht="14.25" thickBot="1">
      <c r="A22" s="11">
        <v>12</v>
      </c>
      <c r="B22" s="7">
        <v>23.572687</v>
      </c>
      <c r="C22" s="8">
        <v>-2.3010299956639813</v>
      </c>
      <c r="D22" s="23">
        <v>24.393246</v>
      </c>
      <c r="E22" s="18">
        <v>-2.3010299956639813</v>
      </c>
      <c r="F22" s="7">
        <v>23.431775</v>
      </c>
      <c r="G22" s="8">
        <v>-2.3010299956639813</v>
      </c>
      <c r="M22" s="44" t="s">
        <v>91</v>
      </c>
      <c r="N22" s="44">
        <v>17</v>
      </c>
      <c r="O22" s="44">
        <v>554.56625179466</v>
      </c>
      <c r="P22" s="44"/>
      <c r="Q22" s="44"/>
      <c r="R22" s="44"/>
    </row>
    <row r="23" spans="1:7" ht="14.25" thickBot="1">
      <c r="A23" s="11">
        <v>13</v>
      </c>
      <c r="B23" s="7">
        <v>20.207183</v>
      </c>
      <c r="C23" s="8">
        <v>-1.3010299956639813</v>
      </c>
      <c r="D23" s="23">
        <v>21.096776</v>
      </c>
      <c r="E23" s="18">
        <v>-1.3010299956639813</v>
      </c>
      <c r="F23" s="7">
        <v>20.144107</v>
      </c>
      <c r="G23" s="8">
        <v>-1.3010299956639813</v>
      </c>
    </row>
    <row r="24" spans="1:21" ht="13.5">
      <c r="A24" s="11">
        <v>14</v>
      </c>
      <c r="B24" s="7">
        <v>20.174707</v>
      </c>
      <c r="C24" s="8">
        <v>-1.3010299956639813</v>
      </c>
      <c r="D24" s="23">
        <v>21.036969</v>
      </c>
      <c r="E24" s="18">
        <v>-1.3010299956639813</v>
      </c>
      <c r="F24" s="7">
        <v>20.075495</v>
      </c>
      <c r="G24" s="8">
        <v>-1.3010299956639813</v>
      </c>
      <c r="M24" s="45"/>
      <c r="N24" s="45" t="s">
        <v>97</v>
      </c>
      <c r="O24" s="45" t="s">
        <v>86</v>
      </c>
      <c r="P24" s="45" t="s">
        <v>98</v>
      </c>
      <c r="Q24" s="45" t="s">
        <v>99</v>
      </c>
      <c r="R24" s="45" t="s">
        <v>100</v>
      </c>
      <c r="S24" s="45" t="s">
        <v>101</v>
      </c>
      <c r="T24" s="45" t="s">
        <v>102</v>
      </c>
      <c r="U24" s="45" t="s">
        <v>103</v>
      </c>
    </row>
    <row r="25" spans="1:21" ht="13.5">
      <c r="A25" s="11">
        <v>15</v>
      </c>
      <c r="B25" s="7">
        <v>20.235154</v>
      </c>
      <c r="C25" s="8">
        <v>-1.3010299956639813</v>
      </c>
      <c r="D25" s="23">
        <v>21.035632</v>
      </c>
      <c r="E25" s="18">
        <v>-1.3010299956639813</v>
      </c>
      <c r="F25" s="7">
        <v>20.022245</v>
      </c>
      <c r="G25" s="8">
        <v>-1.3010299956639813</v>
      </c>
      <c r="M25" s="43" t="s">
        <v>92</v>
      </c>
      <c r="N25" s="43">
        <v>16.138119132282917</v>
      </c>
      <c r="O25" s="43">
        <v>0.15453682521190096</v>
      </c>
      <c r="P25" s="43">
        <v>104.42895478248839</v>
      </c>
      <c r="Q25" s="43">
        <v>4.16977704691789E-24</v>
      </c>
      <c r="R25" s="43">
        <v>15.810515771559936</v>
      </c>
      <c r="S25" s="43">
        <v>16.465722493005895</v>
      </c>
      <c r="T25" s="43">
        <v>15.810515771559936</v>
      </c>
      <c r="U25" s="43">
        <v>16.465722493005895</v>
      </c>
    </row>
    <row r="26" spans="1:21" ht="14.25" thickBot="1">
      <c r="A26" s="11">
        <v>16</v>
      </c>
      <c r="B26" s="7">
        <v>17.158092</v>
      </c>
      <c r="C26" s="8">
        <v>-0.3010299956639812</v>
      </c>
      <c r="D26" s="23">
        <v>17.925966</v>
      </c>
      <c r="E26" s="18">
        <v>-0.3010299956639812</v>
      </c>
      <c r="F26" s="7">
        <v>16.986402</v>
      </c>
      <c r="G26" s="8">
        <v>-0.3010299956639812</v>
      </c>
      <c r="M26" s="44" t="s">
        <v>104</v>
      </c>
      <c r="N26" s="44">
        <v>-3.2446360380952313</v>
      </c>
      <c r="O26" s="44">
        <v>0.04710605132590671</v>
      </c>
      <c r="P26" s="44">
        <v>-68.87938909689068</v>
      </c>
      <c r="Q26" s="44">
        <v>3.2031875564549066E-21</v>
      </c>
      <c r="R26" s="44">
        <v>-3.3444963833792483</v>
      </c>
      <c r="S26" s="44">
        <v>-3.1447756928112143</v>
      </c>
      <c r="T26" s="44">
        <v>-3.3444963833792483</v>
      </c>
      <c r="U26" s="44">
        <v>-3.1447756928112143</v>
      </c>
    </row>
    <row r="27" spans="1:7" ht="13.5">
      <c r="A27" s="11">
        <v>17</v>
      </c>
      <c r="B27" s="7">
        <v>17.178907</v>
      </c>
      <c r="C27" s="8">
        <v>-0.3010299956639812</v>
      </c>
      <c r="D27" s="23">
        <v>17.86067</v>
      </c>
      <c r="E27" s="18">
        <v>-0.3010299956639812</v>
      </c>
      <c r="F27" s="7">
        <v>16.972118</v>
      </c>
      <c r="G27" s="8">
        <v>-0.3010299956639812</v>
      </c>
    </row>
    <row r="28" spans="1:7" ht="14.25" thickBot="1">
      <c r="A28" s="12">
        <v>18</v>
      </c>
      <c r="B28" s="9">
        <v>17.175507</v>
      </c>
      <c r="C28" s="10">
        <v>-0.3010299956639812</v>
      </c>
      <c r="D28" s="24">
        <v>17.865915</v>
      </c>
      <c r="E28" s="19">
        <v>-0.3010299956639812</v>
      </c>
      <c r="F28" s="9">
        <v>17.019377</v>
      </c>
      <c r="G28" s="10">
        <v>-0.3010299956639812</v>
      </c>
    </row>
    <row r="29" spans="1:8" ht="13.5">
      <c r="A29" t="s">
        <v>7</v>
      </c>
      <c r="B29" s="25">
        <f aca="true" t="shared" si="0" ref="B29:G29">SUM(B11:B28)</f>
        <v>454.07595599999996</v>
      </c>
      <c r="C29" s="25">
        <f t="shared" si="0"/>
        <v>-50.41853992195166</v>
      </c>
      <c r="D29" s="25">
        <f t="shared" si="0"/>
        <v>468.80467799999997</v>
      </c>
      <c r="E29" s="25">
        <f t="shared" si="0"/>
        <v>-50.41853992195166</v>
      </c>
      <c r="F29" s="25">
        <f t="shared" si="0"/>
        <v>452.5739040000001</v>
      </c>
      <c r="G29" s="25">
        <f t="shared" si="0"/>
        <v>-50.41853992195166</v>
      </c>
      <c r="H29" s="26" t="s">
        <v>8</v>
      </c>
    </row>
    <row r="30" spans="1:13" ht="13.5">
      <c r="A30" t="s">
        <v>9</v>
      </c>
      <c r="B30">
        <f>B29+D29+F29</f>
        <v>1375.454538</v>
      </c>
      <c r="G30">
        <f>C29+E29+G29</f>
        <v>-151.255619765855</v>
      </c>
      <c r="H30" s="26" t="s">
        <v>10</v>
      </c>
      <c r="M30" t="s">
        <v>105</v>
      </c>
    </row>
    <row r="31" ht="14.25" thickBot="1"/>
    <row r="32" spans="13:15" ht="14.25" thickBot="1">
      <c r="M32" s="45" t="s">
        <v>106</v>
      </c>
      <c r="N32" s="45" t="s">
        <v>107</v>
      </c>
      <c r="O32" s="45" t="s">
        <v>90</v>
      </c>
    </row>
    <row r="33" spans="2:15" ht="14.25" thickBot="1">
      <c r="B33" s="2" t="s">
        <v>0</v>
      </c>
      <c r="C33" s="27"/>
      <c r="D33" s="3"/>
      <c r="E33" s="28" t="s">
        <v>3</v>
      </c>
      <c r="F33" s="28"/>
      <c r="G33" s="28"/>
      <c r="H33" s="2" t="s">
        <v>4</v>
      </c>
      <c r="I33" s="27"/>
      <c r="J33" s="3"/>
      <c r="M33" s="43">
        <v>1</v>
      </c>
      <c r="N33" s="43">
        <v>33.33803209523808</v>
      </c>
      <c r="O33" s="43">
        <v>0.3224409047619261</v>
      </c>
    </row>
    <row r="34" spans="1:15" ht="14.25" thickBot="1">
      <c r="A34" s="14" t="s">
        <v>6</v>
      </c>
      <c r="B34" s="32" t="s">
        <v>11</v>
      </c>
      <c r="C34" s="39" t="s">
        <v>12</v>
      </c>
      <c r="D34" s="33" t="s">
        <v>13</v>
      </c>
      <c r="E34" s="32" t="s">
        <v>11</v>
      </c>
      <c r="F34" s="39" t="s">
        <v>12</v>
      </c>
      <c r="G34" s="33" t="s">
        <v>13</v>
      </c>
      <c r="H34" s="32" t="s">
        <v>11</v>
      </c>
      <c r="I34" s="39" t="s">
        <v>12</v>
      </c>
      <c r="J34" s="33" t="s">
        <v>13</v>
      </c>
      <c r="M34" s="43">
        <v>2</v>
      </c>
      <c r="N34" s="43">
        <v>33.33803209523808</v>
      </c>
      <c r="O34" s="43">
        <v>0.3061899047619221</v>
      </c>
    </row>
    <row r="35" spans="1:15" ht="13.5">
      <c r="A35" s="41">
        <v>1</v>
      </c>
      <c r="B35" s="4">
        <f aca="true" t="shared" si="1" ref="B35:C52">B11^2</f>
        <v>1133.0274425837292</v>
      </c>
      <c r="C35" s="5">
        <f t="shared" si="1"/>
        <v>28.100919014929268</v>
      </c>
      <c r="D35" s="6">
        <f>B11*C11</f>
        <v>-178.43517704123758</v>
      </c>
      <c r="E35" s="4">
        <f aca="true" t="shared" si="2" ref="E35:F52">D11^2</f>
        <v>1170.2985794791289</v>
      </c>
      <c r="F35" s="5">
        <f t="shared" si="2"/>
        <v>28.100919014929268</v>
      </c>
      <c r="G35" s="6">
        <f>D11*E11</f>
        <v>-181.3462588674764</v>
      </c>
      <c r="H35" s="4">
        <f>F11^2</f>
        <v>1115.6343496387692</v>
      </c>
      <c r="I35" s="5">
        <f>G11^2</f>
        <v>28.100919014929268</v>
      </c>
      <c r="J35" s="6">
        <f>F11*G11</f>
        <v>-177.06030190156216</v>
      </c>
      <c r="M35" s="43">
        <v>3</v>
      </c>
      <c r="N35" s="43">
        <v>33.33803209523808</v>
      </c>
      <c r="O35" s="43">
        <v>-1.1845840952380797</v>
      </c>
    </row>
    <row r="36" spans="1:15" ht="13.5">
      <c r="A36" s="30">
        <v>2</v>
      </c>
      <c r="B36" s="34">
        <f t="shared" si="1"/>
        <v>1131.933673985284</v>
      </c>
      <c r="C36" s="1">
        <f t="shared" si="1"/>
        <v>28.100919014929268</v>
      </c>
      <c r="D36" s="35">
        <f aca="true" t="shared" si="3" ref="D36:D52">B12*C12</f>
        <v>-178.34903000277802</v>
      </c>
      <c r="E36" s="34">
        <f t="shared" si="2"/>
        <v>1161.4405382473963</v>
      </c>
      <c r="F36" s="1">
        <f t="shared" si="2"/>
        <v>28.100919014929268</v>
      </c>
      <c r="G36" s="35">
        <f aca="true" t="shared" si="4" ref="G36:G52">D12*E12</f>
        <v>-180.65864636364887</v>
      </c>
      <c r="H36" s="34">
        <f aca="true" t="shared" si="5" ref="H36:H52">F12^2</f>
        <v>1094.0572999123692</v>
      </c>
      <c r="I36" s="1">
        <f aca="true" t="shared" si="6" ref="I36:I52">G12^2</f>
        <v>28.100919014929268</v>
      </c>
      <c r="J36" s="35">
        <f aca="true" t="shared" si="7" ref="J36:J52">F12*G12</f>
        <v>-175.33971478968954</v>
      </c>
      <c r="M36" s="43">
        <v>4</v>
      </c>
      <c r="N36" s="43">
        <v>30.093396057142847</v>
      </c>
      <c r="O36" s="43">
        <v>0.1489659428571528</v>
      </c>
    </row>
    <row r="37" spans="1:15" ht="13.5">
      <c r="A37" s="30">
        <v>3</v>
      </c>
      <c r="B37" s="34">
        <f t="shared" si="1"/>
        <v>1033.8442182887038</v>
      </c>
      <c r="C37" s="1">
        <f t="shared" si="1"/>
        <v>28.100919014929268</v>
      </c>
      <c r="D37" s="35">
        <f t="shared" si="3"/>
        <v>-170.44639231202203</v>
      </c>
      <c r="E37" s="34">
        <f t="shared" si="2"/>
        <v>1133.214198583009</v>
      </c>
      <c r="F37" s="1">
        <f t="shared" si="2"/>
        <v>28.100919014929268</v>
      </c>
      <c r="G37" s="35">
        <f t="shared" si="4"/>
        <v>-178.44988209844553</v>
      </c>
      <c r="H37" s="34">
        <f t="shared" si="5"/>
        <v>1128.215143699396</v>
      </c>
      <c r="I37" s="1">
        <f t="shared" si="6"/>
        <v>28.100919014929268</v>
      </c>
      <c r="J37" s="35">
        <f t="shared" si="7"/>
        <v>-178.05584063577786</v>
      </c>
      <c r="M37" s="43">
        <v>5</v>
      </c>
      <c r="N37" s="43">
        <v>30.093396057142847</v>
      </c>
      <c r="O37" s="43">
        <v>0.21798094285715308</v>
      </c>
    </row>
    <row r="38" spans="1:15" ht="13.5">
      <c r="A38" s="30">
        <v>4</v>
      </c>
      <c r="B38" s="34">
        <f t="shared" si="1"/>
        <v>914.600459339044</v>
      </c>
      <c r="C38" s="1">
        <f t="shared" si="1"/>
        <v>18.498859023601305</v>
      </c>
      <c r="D38" s="35">
        <f t="shared" si="3"/>
        <v>-130.07330610172855</v>
      </c>
      <c r="E38" s="34">
        <f t="shared" si="2"/>
        <v>970.2021401326239</v>
      </c>
      <c r="F38" s="1">
        <f t="shared" si="2"/>
        <v>18.498859023601305</v>
      </c>
      <c r="G38" s="35">
        <f t="shared" si="4"/>
        <v>-133.9687747749814</v>
      </c>
      <c r="H38" s="34">
        <f t="shared" si="5"/>
        <v>910.0883132289001</v>
      </c>
      <c r="I38" s="1">
        <f t="shared" si="6"/>
        <v>18.498859023601305</v>
      </c>
      <c r="J38" s="35">
        <f t="shared" si="7"/>
        <v>-129.75205356929243</v>
      </c>
      <c r="M38" s="43">
        <v>6</v>
      </c>
      <c r="N38" s="43">
        <v>30.093396057142847</v>
      </c>
      <c r="O38" s="43">
        <v>0.1959339428571525</v>
      </c>
    </row>
    <row r="39" spans="1:15" ht="13.5">
      <c r="A39" s="30">
        <v>5</v>
      </c>
      <c r="B39" s="34">
        <f t="shared" si="1"/>
        <v>918.779575636129</v>
      </c>
      <c r="C39" s="1">
        <f t="shared" si="1"/>
        <v>18.498859023601305</v>
      </c>
      <c r="D39" s="35">
        <f t="shared" si="3"/>
        <v>-130.3701416868793</v>
      </c>
      <c r="E39" s="34">
        <f t="shared" si="2"/>
        <v>973.6336368286089</v>
      </c>
      <c r="F39" s="1">
        <f t="shared" si="2"/>
        <v>18.498859023601305</v>
      </c>
      <c r="G39" s="35">
        <f t="shared" si="4"/>
        <v>-134.20548196079275</v>
      </c>
      <c r="H39" s="34">
        <f t="shared" si="5"/>
        <v>908.727476041449</v>
      </c>
      <c r="I39" s="1">
        <f t="shared" si="6"/>
        <v>18.498859023601305</v>
      </c>
      <c r="J39" s="35">
        <f t="shared" si="7"/>
        <v>-129.65500942950024</v>
      </c>
      <c r="M39" s="43">
        <v>7</v>
      </c>
      <c r="N39" s="43">
        <v>26.848760019047617</v>
      </c>
      <c r="O39" s="43">
        <v>0.21267798095238177</v>
      </c>
    </row>
    <row r="40" spans="1:15" ht="13.5">
      <c r="A40" s="30">
        <v>6</v>
      </c>
      <c r="B40" s="34">
        <f t="shared" si="1"/>
        <v>917.4435118489</v>
      </c>
      <c r="C40" s="1">
        <f t="shared" si="1"/>
        <v>18.498859023601305</v>
      </c>
      <c r="D40" s="35">
        <f t="shared" si="3"/>
        <v>-130.2753168785649</v>
      </c>
      <c r="E40" s="34">
        <f t="shared" si="2"/>
        <v>971.2527995750411</v>
      </c>
      <c r="F40" s="1">
        <f t="shared" si="2"/>
        <v>18.498859023601305</v>
      </c>
      <c r="G40" s="35">
        <f t="shared" si="4"/>
        <v>-134.04129444173827</v>
      </c>
      <c r="H40" s="34">
        <f t="shared" si="5"/>
        <v>915.2192622132809</v>
      </c>
      <c r="I40" s="1">
        <f t="shared" si="6"/>
        <v>18.498859023601305</v>
      </c>
      <c r="J40" s="35">
        <f t="shared" si="7"/>
        <v>-130.11730133755418</v>
      </c>
      <c r="M40" s="43">
        <v>8</v>
      </c>
      <c r="N40" s="43">
        <v>26.848760019047617</v>
      </c>
      <c r="O40" s="43">
        <v>0.09966498095238308</v>
      </c>
    </row>
    <row r="41" spans="1:15" ht="13.5">
      <c r="A41" s="30">
        <v>7</v>
      </c>
      <c r="B41" s="34">
        <f t="shared" si="1"/>
        <v>732.321426627844</v>
      </c>
      <c r="C41" s="1">
        <f t="shared" si="1"/>
        <v>10.896799032273345</v>
      </c>
      <c r="D41" s="35">
        <f t="shared" si="3"/>
        <v>-89.3306185638011</v>
      </c>
      <c r="E41" s="34">
        <f t="shared" si="2"/>
        <v>773.7784791318759</v>
      </c>
      <c r="F41" s="1">
        <f t="shared" si="2"/>
        <v>10.896799032273345</v>
      </c>
      <c r="G41" s="35">
        <f t="shared" si="4"/>
        <v>-91.8243354596055</v>
      </c>
      <c r="H41" s="34">
        <f t="shared" si="5"/>
        <v>716.058905562729</v>
      </c>
      <c r="I41" s="1">
        <f t="shared" si="6"/>
        <v>10.896799032273345</v>
      </c>
      <c r="J41" s="35">
        <f t="shared" si="7"/>
        <v>-88.33317603928127</v>
      </c>
      <c r="M41" s="43">
        <v>9</v>
      </c>
      <c r="N41" s="43">
        <v>26.848760019047617</v>
      </c>
      <c r="O41" s="43">
        <v>0.10423598095238162</v>
      </c>
    </row>
    <row r="42" spans="1:15" ht="13.5">
      <c r="A42" s="30">
        <v>8</v>
      </c>
      <c r="B42" s="34">
        <f t="shared" si="1"/>
        <v>726.2176099806251</v>
      </c>
      <c r="C42" s="1">
        <f t="shared" si="1"/>
        <v>10.896799032273345</v>
      </c>
      <c r="D42" s="35">
        <f t="shared" si="3"/>
        <v>-88.95755926090112</v>
      </c>
      <c r="E42" s="34">
        <f t="shared" si="2"/>
        <v>770.121386625721</v>
      </c>
      <c r="F42" s="1">
        <f t="shared" si="2"/>
        <v>10.896799032273345</v>
      </c>
      <c r="G42" s="35">
        <f t="shared" si="4"/>
        <v>-91.60708477250088</v>
      </c>
      <c r="H42" s="34">
        <f t="shared" si="5"/>
        <v>719.3096643626011</v>
      </c>
      <c r="I42" s="1">
        <f t="shared" si="6"/>
        <v>10.896799032273345</v>
      </c>
      <c r="J42" s="35">
        <f t="shared" si="7"/>
        <v>-88.5334561311782</v>
      </c>
      <c r="M42" s="43">
        <v>10</v>
      </c>
      <c r="N42" s="43">
        <v>23.604123980952384</v>
      </c>
      <c r="O42" s="43">
        <v>-0.032629980952382454</v>
      </c>
    </row>
    <row r="43" spans="1:15" ht="13.5">
      <c r="A43" s="30">
        <v>9</v>
      </c>
      <c r="B43" s="34">
        <f t="shared" si="1"/>
        <v>726.463993376016</v>
      </c>
      <c r="C43" s="1">
        <f t="shared" si="1"/>
        <v>10.896799032273345</v>
      </c>
      <c r="D43" s="35">
        <f t="shared" si="3"/>
        <v>-88.9726482690113</v>
      </c>
      <c r="E43" s="34">
        <f t="shared" si="2"/>
        <v>772.3472957527689</v>
      </c>
      <c r="F43" s="1">
        <f t="shared" si="2"/>
        <v>10.896799032273345</v>
      </c>
      <c r="G43" s="35">
        <f t="shared" si="4"/>
        <v>-91.7393768506071</v>
      </c>
      <c r="H43" s="34">
        <f t="shared" si="5"/>
        <v>717.698581270609</v>
      </c>
      <c r="I43" s="1">
        <f t="shared" si="6"/>
        <v>10.896799032273345</v>
      </c>
      <c r="J43" s="35">
        <f t="shared" si="7"/>
        <v>-88.4342535777485</v>
      </c>
      <c r="M43" s="43">
        <v>11</v>
      </c>
      <c r="N43" s="43">
        <v>23.604123980952384</v>
      </c>
      <c r="O43" s="43">
        <v>-0.06596998095238504</v>
      </c>
    </row>
    <row r="44" spans="1:15" ht="13.5">
      <c r="A44" s="30">
        <v>10</v>
      </c>
      <c r="B44" s="34">
        <f t="shared" si="1"/>
        <v>555.6153293920361</v>
      </c>
      <c r="C44" s="1">
        <f t="shared" si="1"/>
        <v>5.294739040945381</v>
      </c>
      <c r="D44" s="35">
        <f t="shared" si="3"/>
        <v>-54.23871473661357</v>
      </c>
      <c r="E44" s="34">
        <f t="shared" si="2"/>
        <v>594.621445989321</v>
      </c>
      <c r="F44" s="1">
        <f t="shared" si="2"/>
        <v>5.294739040945381</v>
      </c>
      <c r="G44" s="35">
        <f t="shared" si="4"/>
        <v>-56.110296601096785</v>
      </c>
      <c r="H44" s="34">
        <f t="shared" si="5"/>
        <v>551.6592270803291</v>
      </c>
      <c r="I44" s="1">
        <f t="shared" si="6"/>
        <v>5.294739040945381</v>
      </c>
      <c r="J44" s="35">
        <f t="shared" si="7"/>
        <v>-54.04527404796808</v>
      </c>
      <c r="M44" s="43">
        <v>12</v>
      </c>
      <c r="N44" s="43">
        <v>23.604123980952384</v>
      </c>
      <c r="O44" s="43">
        <v>-0.03143698095238534</v>
      </c>
    </row>
    <row r="45" spans="1:15" ht="13.5">
      <c r="A45" s="30">
        <v>11</v>
      </c>
      <c r="B45" s="34">
        <f t="shared" si="1"/>
        <v>554.044693727716</v>
      </c>
      <c r="C45" s="1">
        <f t="shared" si="1"/>
        <v>5.294739040945381</v>
      </c>
      <c r="D45" s="35">
        <f t="shared" si="3"/>
        <v>-54.16199839655812</v>
      </c>
      <c r="E45" s="34">
        <f t="shared" si="2"/>
        <v>594.222674082489</v>
      </c>
      <c r="F45" s="1">
        <f t="shared" si="2"/>
        <v>5.294739040945381</v>
      </c>
      <c r="G45" s="35">
        <f t="shared" si="4"/>
        <v>-56.09147877779225</v>
      </c>
      <c r="H45" s="34">
        <f t="shared" si="5"/>
        <v>549.147809813409</v>
      </c>
      <c r="I45" s="1">
        <f t="shared" si="6"/>
        <v>5.294739040945381</v>
      </c>
      <c r="J45" s="35">
        <f t="shared" si="7"/>
        <v>-53.92211371848016</v>
      </c>
      <c r="M45" s="43">
        <v>13</v>
      </c>
      <c r="N45" s="43">
        <v>20.359487942857154</v>
      </c>
      <c r="O45" s="43">
        <v>-0.15230494285715324</v>
      </c>
    </row>
    <row r="46" spans="1:15" ht="13.5">
      <c r="A46" s="30">
        <v>12</v>
      </c>
      <c r="B46" s="34">
        <f t="shared" si="1"/>
        <v>555.6715723999689</v>
      </c>
      <c r="C46" s="1">
        <f t="shared" si="1"/>
        <v>5.294739040945381</v>
      </c>
      <c r="D46" s="35">
        <f t="shared" si="3"/>
        <v>-54.24145986539838</v>
      </c>
      <c r="E46" s="34">
        <f t="shared" si="2"/>
        <v>595.030450416516</v>
      </c>
      <c r="F46" s="1">
        <f t="shared" si="2"/>
        <v>5.294739040945381</v>
      </c>
      <c r="G46" s="35">
        <f t="shared" si="4"/>
        <v>-56.12959073761043</v>
      </c>
      <c r="H46" s="34">
        <f t="shared" si="5"/>
        <v>549.0480796506249</v>
      </c>
      <c r="I46" s="1">
        <f t="shared" si="6"/>
        <v>5.294739040945381</v>
      </c>
      <c r="J46" s="35">
        <f t="shared" si="7"/>
        <v>-53.91721712664938</v>
      </c>
      <c r="M46" s="43">
        <v>14</v>
      </c>
      <c r="N46" s="43">
        <v>20.359487942857154</v>
      </c>
      <c r="O46" s="43">
        <v>-0.1847809428571523</v>
      </c>
    </row>
    <row r="47" spans="1:15" ht="13.5">
      <c r="A47" s="30">
        <v>13</v>
      </c>
      <c r="B47" s="34">
        <f t="shared" si="1"/>
        <v>408.330244795489</v>
      </c>
      <c r="C47" s="1">
        <f t="shared" si="1"/>
        <v>1.692679049617419</v>
      </c>
      <c r="D47" s="35">
        <f t="shared" si="3"/>
        <v>-26.290151210871276</v>
      </c>
      <c r="E47" s="34">
        <f t="shared" si="2"/>
        <v>445.0739575941759</v>
      </c>
      <c r="F47" s="1">
        <f t="shared" si="2"/>
        <v>1.692679049617419</v>
      </c>
      <c r="G47" s="35">
        <f t="shared" si="4"/>
        <v>-27.44753838780398</v>
      </c>
      <c r="H47" s="34">
        <f t="shared" si="5"/>
        <v>405.7850468274491</v>
      </c>
      <c r="I47" s="1">
        <f t="shared" si="6"/>
        <v>1.692679049617419</v>
      </c>
      <c r="J47" s="35">
        <f t="shared" si="7"/>
        <v>-26.208087442864777</v>
      </c>
      <c r="M47" s="43">
        <v>15</v>
      </c>
      <c r="N47" s="43">
        <v>20.359487942857154</v>
      </c>
      <c r="O47" s="43">
        <v>-0.12433394285715238</v>
      </c>
    </row>
    <row r="48" spans="1:15" ht="13.5">
      <c r="A48" s="30">
        <v>14</v>
      </c>
      <c r="B48" s="34">
        <f t="shared" si="1"/>
        <v>407.01880253584903</v>
      </c>
      <c r="C48" s="1">
        <f t="shared" si="1"/>
        <v>1.692679049617419</v>
      </c>
      <c r="D48" s="35">
        <f t="shared" si="3"/>
        <v>-26.247898960732094</v>
      </c>
      <c r="E48" s="34">
        <f t="shared" si="2"/>
        <v>442.55406470696096</v>
      </c>
      <c r="F48" s="1">
        <f t="shared" si="2"/>
        <v>1.692679049617419</v>
      </c>
      <c r="G48" s="35">
        <f t="shared" si="4"/>
        <v>-27.369727686853306</v>
      </c>
      <c r="H48" s="34">
        <f t="shared" si="5"/>
        <v>403.02549949502503</v>
      </c>
      <c r="I48" s="1">
        <f t="shared" si="6"/>
        <v>1.692679049617419</v>
      </c>
      <c r="J48" s="35">
        <f t="shared" si="7"/>
        <v>-26.118821172802278</v>
      </c>
      <c r="M48" s="43">
        <v>16</v>
      </c>
      <c r="N48" s="43">
        <v>17.11485190476192</v>
      </c>
      <c r="O48" s="43">
        <v>0.04324009523807959</v>
      </c>
    </row>
    <row r="49" spans="1:15" ht="13.5">
      <c r="A49" s="30">
        <v>15</v>
      </c>
      <c r="B49" s="34">
        <f t="shared" si="1"/>
        <v>409.46145740371605</v>
      </c>
      <c r="C49" s="1">
        <f t="shared" si="1"/>
        <v>1.692679049617419</v>
      </c>
      <c r="D49" s="35">
        <f t="shared" si="3"/>
        <v>-26.326542320879994</v>
      </c>
      <c r="E49" s="34">
        <f t="shared" si="2"/>
        <v>442.497813639424</v>
      </c>
      <c r="F49" s="1">
        <f t="shared" si="2"/>
        <v>1.692679049617419</v>
      </c>
      <c r="G49" s="35">
        <f t="shared" si="4"/>
        <v>-27.367988209749104</v>
      </c>
      <c r="H49" s="34">
        <f t="shared" si="5"/>
        <v>400.8902948400251</v>
      </c>
      <c r="I49" s="1">
        <f t="shared" si="6"/>
        <v>1.692679049617419</v>
      </c>
      <c r="J49" s="35">
        <f t="shared" si="7"/>
        <v>-26.049541325533173</v>
      </c>
      <c r="M49" s="43">
        <v>17</v>
      </c>
      <c r="N49" s="43">
        <v>17.11485190476192</v>
      </c>
      <c r="O49" s="43">
        <v>0.06405509523807851</v>
      </c>
    </row>
    <row r="50" spans="1:15" ht="14.25" thickBot="1">
      <c r="A50" s="30">
        <v>16</v>
      </c>
      <c r="B50" s="34">
        <f t="shared" si="1"/>
        <v>294.400121080464</v>
      </c>
      <c r="C50" s="1">
        <f t="shared" si="1"/>
        <v>0.09061905828945654</v>
      </c>
      <c r="D50" s="35">
        <f t="shared" si="3"/>
        <v>-5.165100360362191</v>
      </c>
      <c r="E50" s="34">
        <f t="shared" si="2"/>
        <v>321.340257033156</v>
      </c>
      <c r="F50" s="1">
        <f t="shared" si="2"/>
        <v>0.09061905828945654</v>
      </c>
      <c r="G50" s="35">
        <f t="shared" si="4"/>
        <v>-5.396253467252674</v>
      </c>
      <c r="H50" s="34">
        <f t="shared" si="5"/>
        <v>288.5378529056039</v>
      </c>
      <c r="I50" s="1">
        <f t="shared" si="6"/>
        <v>0.09061905828945654</v>
      </c>
      <c r="J50" s="35">
        <f t="shared" si="7"/>
        <v>-5.113416520406641</v>
      </c>
      <c r="M50" s="44">
        <v>18</v>
      </c>
      <c r="N50" s="44">
        <v>17.11485190476192</v>
      </c>
      <c r="O50" s="44">
        <v>0.060655095238079326</v>
      </c>
    </row>
    <row r="51" spans="1:10" ht="13.5">
      <c r="A51" s="30">
        <v>17</v>
      </c>
      <c r="B51" s="34">
        <f t="shared" si="1"/>
        <v>295.11484571464894</v>
      </c>
      <c r="C51" s="1">
        <f t="shared" si="1"/>
        <v>0.09061905828945654</v>
      </c>
      <c r="D51" s="35">
        <f t="shared" si="3"/>
        <v>-5.171366299721936</v>
      </c>
      <c r="E51" s="34">
        <f t="shared" si="2"/>
        <v>319.00353284889997</v>
      </c>
      <c r="F51" s="1">
        <f t="shared" si="2"/>
        <v>0.09061905828945654</v>
      </c>
      <c r="G51" s="35">
        <f t="shared" si="4"/>
        <v>-5.376597412655799</v>
      </c>
      <c r="H51" s="34">
        <f t="shared" si="5"/>
        <v>288.05278940592393</v>
      </c>
      <c r="I51" s="1">
        <f t="shared" si="6"/>
        <v>0.09061905828945654</v>
      </c>
      <c r="J51" s="35">
        <f t="shared" si="7"/>
        <v>-5.109116607948577</v>
      </c>
    </row>
    <row r="52" spans="1:10" ht="14.25" thickBot="1">
      <c r="A52" s="31">
        <v>18</v>
      </c>
      <c r="B52" s="36">
        <f t="shared" si="1"/>
        <v>294.998040707049</v>
      </c>
      <c r="C52" s="37">
        <f t="shared" si="1"/>
        <v>0.09061905828945654</v>
      </c>
      <c r="D52" s="38">
        <f t="shared" si="3"/>
        <v>-5.170342797736678</v>
      </c>
      <c r="E52" s="36">
        <f t="shared" si="2"/>
        <v>319.19091878722503</v>
      </c>
      <c r="F52" s="37">
        <f t="shared" si="2"/>
        <v>0.09061905828945654</v>
      </c>
      <c r="G52" s="38">
        <f t="shared" si="4"/>
        <v>-5.378176314983057</v>
      </c>
      <c r="H52" s="36">
        <f t="shared" si="5"/>
        <v>289.65919346812893</v>
      </c>
      <c r="I52" s="37">
        <f t="shared" si="6"/>
        <v>0.09061905828945654</v>
      </c>
      <c r="J52" s="38">
        <f t="shared" si="7"/>
        <v>-5.123342984513661</v>
      </c>
    </row>
    <row r="53" spans="1:11" ht="13.5">
      <c r="A53" s="29" t="s">
        <v>14</v>
      </c>
      <c r="B53" s="42">
        <f>SUM(B35:B52)</f>
        <v>12009.287019423211</v>
      </c>
      <c r="C53" s="42">
        <f aca="true" t="shared" si="8" ref="C53:J53">SUM(C35:C52)</f>
        <v>193.7238426589686</v>
      </c>
      <c r="D53" s="42">
        <f t="shared" si="8"/>
        <v>-1442.223765065798</v>
      </c>
      <c r="E53" s="42">
        <f t="shared" si="8"/>
        <v>12769.824169454341</v>
      </c>
      <c r="F53" s="42">
        <f t="shared" si="8"/>
        <v>193.7238426589686</v>
      </c>
      <c r="G53" s="42">
        <f t="shared" si="8"/>
        <v>-1484.5087831855938</v>
      </c>
      <c r="H53" s="42">
        <f t="shared" si="8"/>
        <v>11950.81478941662</v>
      </c>
      <c r="I53" s="42">
        <f t="shared" si="8"/>
        <v>193.7238426589686</v>
      </c>
      <c r="J53" s="42">
        <f t="shared" si="8"/>
        <v>-1440.8880383587511</v>
      </c>
      <c r="K53" s="26" t="s">
        <v>15</v>
      </c>
    </row>
    <row r="54" spans="1:11" ht="13.5">
      <c r="A54" s="29" t="s">
        <v>24</v>
      </c>
      <c r="B54" s="40">
        <f>B53+E53+H53</f>
        <v>36729.92597829417</v>
      </c>
      <c r="C54" s="29"/>
      <c r="D54" s="29"/>
      <c r="E54" s="29" t="s">
        <v>25</v>
      </c>
      <c r="F54" s="40">
        <f>C53+F53+I53</f>
        <v>581.1715279769058</v>
      </c>
      <c r="G54" s="29"/>
      <c r="H54" s="29"/>
      <c r="I54" s="29"/>
      <c r="J54" s="40">
        <f>D53+G53+J53</f>
        <v>-4367.620586610143</v>
      </c>
      <c r="K54" s="26" t="s">
        <v>26</v>
      </c>
    </row>
    <row r="55" spans="1:10" ht="13.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3.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ht="13.5">
      <c r="A57" t="s">
        <v>16</v>
      </c>
    </row>
    <row r="58" spans="1:7" ht="13.5">
      <c r="A58" t="s">
        <v>17</v>
      </c>
      <c r="G58">
        <f>B30^2/(18*3)</f>
        <v>35034.72566860729</v>
      </c>
    </row>
    <row r="59" spans="1:7" ht="13.5">
      <c r="A59" t="s">
        <v>18</v>
      </c>
      <c r="G59">
        <f>G30^2/(18*3)</f>
        <v>423.67152797690557</v>
      </c>
    </row>
    <row r="60" spans="1:7" ht="13.5">
      <c r="A60" t="s">
        <v>19</v>
      </c>
      <c r="G60">
        <f>B30*G30/(18*3)</f>
        <v>-3852.6894186101435</v>
      </c>
    </row>
    <row r="63" ht="13.5">
      <c r="A63" t="s">
        <v>20</v>
      </c>
    </row>
    <row r="64" spans="1:4" ht="13.5">
      <c r="A64" t="s">
        <v>21</v>
      </c>
      <c r="D64">
        <f>B54-G58</f>
        <v>1695.2003096868866</v>
      </c>
    </row>
    <row r="65" spans="1:4" ht="13.5">
      <c r="A65" t="s">
        <v>22</v>
      </c>
      <c r="D65">
        <f>F54-G59</f>
        <v>157.50000000000028</v>
      </c>
    </row>
    <row r="66" spans="1:4" ht="13.5">
      <c r="A66" t="s">
        <v>23</v>
      </c>
      <c r="D66">
        <f>J54-G60</f>
        <v>-514.9311679999992</v>
      </c>
    </row>
    <row r="69" ht="13.5">
      <c r="A69" t="s">
        <v>27</v>
      </c>
    </row>
    <row r="70" spans="1:7" ht="13.5">
      <c r="A70" t="s">
        <v>145</v>
      </c>
      <c r="G70">
        <f>B29^2/18+D29^2/18+F29^2/18-G58</f>
        <v>8.9375821593203</v>
      </c>
    </row>
    <row r="71" spans="1:7" ht="13.5">
      <c r="A71" t="s">
        <v>146</v>
      </c>
      <c r="G71">
        <f>C29^2/18+E29^2/18+G29^2/18-G59</f>
        <v>0</v>
      </c>
    </row>
    <row r="72" spans="1:7" ht="13.5">
      <c r="A72" t="s">
        <v>147</v>
      </c>
      <c r="G72">
        <f>B29*C29/18+D29*E29/18+F29*G29/18-G60</f>
        <v>0</v>
      </c>
    </row>
    <row r="75" ht="13.5">
      <c r="A75" t="s">
        <v>28</v>
      </c>
    </row>
    <row r="76" spans="1:7" ht="13.5">
      <c r="A76" t="s">
        <v>30</v>
      </c>
      <c r="G76">
        <f>D64-G70</f>
        <v>1686.2627275275663</v>
      </c>
    </row>
    <row r="77" spans="1:7" ht="13.5">
      <c r="A77" t="s">
        <v>29</v>
      </c>
      <c r="G77">
        <f>D65-G71</f>
        <v>157.50000000000028</v>
      </c>
    </row>
    <row r="78" spans="1:7" ht="13.5">
      <c r="A78" t="s">
        <v>31</v>
      </c>
      <c r="G78">
        <f>D66-G72</f>
        <v>-514.9311679999992</v>
      </c>
    </row>
    <row r="81" spans="1:7" ht="13.5">
      <c r="A81" t="s">
        <v>0</v>
      </c>
      <c r="B81" t="s">
        <v>33</v>
      </c>
      <c r="G81">
        <f>(18*D53-B29*C29)^2/(18*(18*C53-C29^2))</f>
        <v>552.7023085345837</v>
      </c>
    </row>
    <row r="82" spans="1:7" ht="13.5">
      <c r="A82" t="s">
        <v>3</v>
      </c>
      <c r="G82">
        <f>(18*G53-D29*E29)^2/(18*(18*F53-E29^2))</f>
        <v>559.4027190335432</v>
      </c>
    </row>
    <row r="83" spans="1:7" ht="13.5">
      <c r="A83" t="s">
        <v>4</v>
      </c>
      <c r="G83">
        <f>(18*J53-F29*G29)^2/(18*(18*I53-G29^2))</f>
        <v>571.4937461893652</v>
      </c>
    </row>
    <row r="84" spans="1:7" ht="13.5">
      <c r="A84" t="s">
        <v>32</v>
      </c>
      <c r="F84" t="s">
        <v>34</v>
      </c>
      <c r="G84" s="25">
        <f>SUM(G81:G83)</f>
        <v>1683.598773757492</v>
      </c>
    </row>
    <row r="87" spans="1:2" ht="13.5">
      <c r="A87" s="47" t="s">
        <v>51</v>
      </c>
      <c r="B87" s="47"/>
    </row>
    <row r="88" spans="1:4" ht="13.5">
      <c r="A88" t="s">
        <v>35</v>
      </c>
      <c r="D88">
        <f>G84-G78^2/G77</f>
        <v>0.08062913626713453</v>
      </c>
    </row>
    <row r="89" spans="1:4" ht="13.5">
      <c r="A89" t="s">
        <v>36</v>
      </c>
      <c r="D89">
        <f>G76-G84</f>
        <v>2.663953770074386</v>
      </c>
    </row>
    <row r="91" spans="1:5" ht="13.5">
      <c r="A91" s="1"/>
      <c r="B91" s="1" t="s">
        <v>38</v>
      </c>
      <c r="C91" s="1" t="s">
        <v>40</v>
      </c>
      <c r="D91" s="1" t="s">
        <v>41</v>
      </c>
      <c r="E91" s="1" t="s">
        <v>42</v>
      </c>
    </row>
    <row r="92" spans="1:5" ht="13.5">
      <c r="A92" s="1" t="s">
        <v>37</v>
      </c>
      <c r="B92" s="1" t="s">
        <v>44</v>
      </c>
      <c r="C92" s="1" t="s">
        <v>46</v>
      </c>
      <c r="D92" s="1" t="s">
        <v>48</v>
      </c>
      <c r="E92" s="1" t="s">
        <v>50</v>
      </c>
    </row>
    <row r="93" spans="1:5" ht="13.5">
      <c r="A93" s="1" t="s">
        <v>43</v>
      </c>
      <c r="B93" s="1" t="s">
        <v>45</v>
      </c>
      <c r="C93" s="1" t="s">
        <v>47</v>
      </c>
      <c r="D93" s="1" t="s">
        <v>49</v>
      </c>
      <c r="E93" s="1"/>
    </row>
    <row r="95" spans="1:5" ht="13.5">
      <c r="A95" s="1"/>
      <c r="B95" s="1" t="s">
        <v>38</v>
      </c>
      <c r="C95" s="1" t="s">
        <v>40</v>
      </c>
      <c r="D95" s="1" t="s">
        <v>41</v>
      </c>
      <c r="E95" s="1" t="s">
        <v>42</v>
      </c>
    </row>
    <row r="96" spans="1:5" ht="13.5">
      <c r="A96" s="1" t="s">
        <v>37</v>
      </c>
      <c r="B96" s="1">
        <f>D88</f>
        <v>0.08062913626713453</v>
      </c>
      <c r="C96" s="1">
        <f>3-1</f>
        <v>2</v>
      </c>
      <c r="D96" s="1">
        <f>D88/C96</f>
        <v>0.04031456813356726</v>
      </c>
      <c r="E96" s="1">
        <f>D96/D97</f>
        <v>0.7264012206777878</v>
      </c>
    </row>
    <row r="97" spans="1:5" ht="13.5">
      <c r="A97" s="1" t="s">
        <v>43</v>
      </c>
      <c r="B97" s="1">
        <f>D89</f>
        <v>2.663953770074386</v>
      </c>
      <c r="C97" s="1">
        <f>18*3-2*3</f>
        <v>48</v>
      </c>
      <c r="D97" s="1">
        <f>D89/C97</f>
        <v>0.0554990368765497</v>
      </c>
      <c r="E97" s="1"/>
    </row>
    <row r="99" spans="1:6" ht="13.5">
      <c r="A99" t="s">
        <v>52</v>
      </c>
      <c r="B99">
        <f>E96</f>
        <v>0.7264012206777878</v>
      </c>
      <c r="C99" t="s">
        <v>148</v>
      </c>
      <c r="D99" t="s">
        <v>53</v>
      </c>
      <c r="F99">
        <f>FINV(0.05,C96,C97)</f>
        <v>3.1907205766401603</v>
      </c>
    </row>
    <row r="100" ht="13.5">
      <c r="A100" t="s">
        <v>150</v>
      </c>
    </row>
    <row r="103" spans="1:2" ht="13.5">
      <c r="A103" s="47" t="s">
        <v>54</v>
      </c>
      <c r="B103" s="47"/>
    </row>
    <row r="105" spans="1:5" ht="13.5">
      <c r="A105" s="1"/>
      <c r="B105" s="1" t="s">
        <v>38</v>
      </c>
      <c r="C105" s="1" t="s">
        <v>40</v>
      </c>
      <c r="D105" s="1" t="s">
        <v>41</v>
      </c>
      <c r="E105" s="1" t="s">
        <v>55</v>
      </c>
    </row>
    <row r="106" spans="1:5" ht="13.5">
      <c r="A106" s="1" t="s">
        <v>56</v>
      </c>
      <c r="B106" s="1" t="s">
        <v>57</v>
      </c>
      <c r="C106" s="1">
        <v>1</v>
      </c>
      <c r="D106" s="1" t="s">
        <v>60</v>
      </c>
      <c r="E106" s="1" t="s">
        <v>62</v>
      </c>
    </row>
    <row r="107" spans="1:5" ht="13.5">
      <c r="A107" s="1" t="s">
        <v>28</v>
      </c>
      <c r="B107" s="1" t="s">
        <v>58</v>
      </c>
      <c r="C107" s="1" t="s">
        <v>59</v>
      </c>
      <c r="D107" s="1" t="s">
        <v>61</v>
      </c>
      <c r="E107" s="1"/>
    </row>
    <row r="109" spans="1:5" ht="13.5">
      <c r="A109" s="1"/>
      <c r="B109" s="1" t="s">
        <v>38</v>
      </c>
      <c r="C109" s="1" t="s">
        <v>40</v>
      </c>
      <c r="D109" s="1" t="s">
        <v>41</v>
      </c>
      <c r="E109" s="1" t="s">
        <v>55</v>
      </c>
    </row>
    <row r="110" spans="1:5" ht="13.5">
      <c r="A110" s="1" t="s">
        <v>56</v>
      </c>
      <c r="B110" s="1">
        <f>G78^2/G77</f>
        <v>1683.5181446212248</v>
      </c>
      <c r="C110" s="1">
        <v>1</v>
      </c>
      <c r="D110" s="1">
        <f>B110</f>
        <v>1683.5181446212248</v>
      </c>
      <c r="E110" s="1">
        <f>D110/D111</f>
        <v>30669.83585613969</v>
      </c>
    </row>
    <row r="111" spans="1:5" ht="13.5">
      <c r="A111" s="1" t="s">
        <v>28</v>
      </c>
      <c r="B111" s="1">
        <f>G76-B110</f>
        <v>2.7445829063415204</v>
      </c>
      <c r="C111" s="1">
        <f>18*3-3-1</f>
        <v>50</v>
      </c>
      <c r="D111" s="1">
        <f>B111/C111</f>
        <v>0.05489165812683041</v>
      </c>
      <c r="E111" s="1"/>
    </row>
    <row r="113" spans="1:5" ht="13.5">
      <c r="A113" t="s">
        <v>63</v>
      </c>
      <c r="B113">
        <f>E110</f>
        <v>30669.83585613969</v>
      </c>
      <c r="C113" t="s">
        <v>149</v>
      </c>
      <c r="D113" t="s">
        <v>64</v>
      </c>
      <c r="E113">
        <f>FINV(0.05,C110,C111)</f>
        <v>4.034319545098697</v>
      </c>
    </row>
    <row r="114" ht="13.5">
      <c r="A114" t="s">
        <v>151</v>
      </c>
    </row>
    <row r="117" spans="1:2" ht="13.5">
      <c r="A117" s="47" t="s">
        <v>71</v>
      </c>
      <c r="B117" s="47"/>
    </row>
    <row r="119" spans="1:5" ht="13.5">
      <c r="A119" s="1"/>
      <c r="B119" s="1" t="s">
        <v>38</v>
      </c>
      <c r="C119" s="1" t="s">
        <v>40</v>
      </c>
      <c r="D119" s="1" t="s">
        <v>41</v>
      </c>
      <c r="E119" s="1" t="s">
        <v>55</v>
      </c>
    </row>
    <row r="120" spans="1:5" ht="13.5">
      <c r="A120" s="1" t="s">
        <v>65</v>
      </c>
      <c r="B120" s="1" t="s">
        <v>67</v>
      </c>
      <c r="C120" s="1" t="s">
        <v>68</v>
      </c>
      <c r="D120" s="1" t="s">
        <v>69</v>
      </c>
      <c r="E120" s="1" t="s">
        <v>70</v>
      </c>
    </row>
    <row r="121" spans="1:5" ht="13.5">
      <c r="A121" s="1" t="s">
        <v>66</v>
      </c>
      <c r="B121" s="1" t="s">
        <v>58</v>
      </c>
      <c r="C121" s="1" t="s">
        <v>59</v>
      </c>
      <c r="D121" s="1" t="s">
        <v>61</v>
      </c>
      <c r="E121" s="1"/>
    </row>
    <row r="123" spans="1:5" ht="13.5">
      <c r="A123" s="1"/>
      <c r="B123" s="1" t="s">
        <v>38</v>
      </c>
      <c r="C123" s="1" t="s">
        <v>40</v>
      </c>
      <c r="D123" s="1" t="s">
        <v>41</v>
      </c>
      <c r="E123" s="1" t="s">
        <v>55</v>
      </c>
    </row>
    <row r="124" spans="1:5" ht="13.5">
      <c r="A124" s="1" t="s">
        <v>65</v>
      </c>
      <c r="B124" s="1">
        <f>(D64-D66^2/D65)-(G76-G78^2/G77)</f>
        <v>8.9375821593203</v>
      </c>
      <c r="C124" s="1">
        <f>3-1</f>
        <v>2</v>
      </c>
      <c r="D124" s="1">
        <f>B124/C124</f>
        <v>4.46879107966015</v>
      </c>
      <c r="E124" s="1">
        <f>D124/D125</f>
        <v>81.4111147696567</v>
      </c>
    </row>
    <row r="125" spans="1:5" ht="13.5">
      <c r="A125" s="1" t="s">
        <v>66</v>
      </c>
      <c r="B125" s="1">
        <f>B111</f>
        <v>2.7445829063415204</v>
      </c>
      <c r="C125" s="1">
        <f>18*3-3-1</f>
        <v>50</v>
      </c>
      <c r="D125" s="1">
        <f>B125/C125</f>
        <v>0.05489165812683041</v>
      </c>
      <c r="E125" s="1"/>
    </row>
    <row r="127" spans="1:5" ht="13.5">
      <c r="A127" t="s">
        <v>72</v>
      </c>
      <c r="B127">
        <f>E124</f>
        <v>81.4111147696567</v>
      </c>
      <c r="C127" t="s">
        <v>149</v>
      </c>
      <c r="D127" t="s">
        <v>73</v>
      </c>
      <c r="E127">
        <f>FINV(0.05,C124,C125)</f>
        <v>3.18260617859778</v>
      </c>
    </row>
    <row r="128" ht="13.5">
      <c r="A128" t="s">
        <v>152</v>
      </c>
    </row>
    <row r="131" spans="1:2" ht="13.5">
      <c r="A131" s="47" t="s">
        <v>74</v>
      </c>
      <c r="B131" s="47"/>
    </row>
    <row r="132" spans="1:3" ht="13.5">
      <c r="A132" t="s">
        <v>75</v>
      </c>
      <c r="C132">
        <f>18*3</f>
        <v>54</v>
      </c>
    </row>
    <row r="133" spans="1:3" ht="13.5">
      <c r="A133" t="s">
        <v>76</v>
      </c>
      <c r="C133">
        <f>G77</f>
        <v>157.50000000000028</v>
      </c>
    </row>
    <row r="134" spans="1:3" ht="13.5">
      <c r="A134" t="s">
        <v>77</v>
      </c>
      <c r="C134">
        <f>D125</f>
        <v>0.05489165812683041</v>
      </c>
    </row>
    <row r="135" spans="1:3" ht="13.5">
      <c r="A135" s="48" t="s">
        <v>78</v>
      </c>
      <c r="B135" s="48"/>
      <c r="C135" s="48">
        <f>G78/G77</f>
        <v>-3.26940424126983</v>
      </c>
    </row>
    <row r="136" spans="1:3" ht="13.5">
      <c r="A136" t="s">
        <v>155</v>
      </c>
      <c r="C136">
        <f>G30/(18*3)</f>
        <v>-2.8010299956639813</v>
      </c>
    </row>
    <row r="137" spans="1:3" ht="13.5">
      <c r="A137" t="s">
        <v>156</v>
      </c>
      <c r="C137">
        <f>B30/(18*3)</f>
        <v>25.471380333333332</v>
      </c>
    </row>
    <row r="138" spans="1:4" ht="13.5">
      <c r="A138" t="s">
        <v>159</v>
      </c>
      <c r="C138">
        <f>C137-C135*C136</f>
        <v>16.3136809855855</v>
      </c>
      <c r="D138" t="s">
        <v>160</v>
      </c>
    </row>
    <row r="139" spans="1:3" ht="13.5">
      <c r="A139" t="s">
        <v>161</v>
      </c>
      <c r="C139">
        <f>C29/18</f>
        <v>-2.8010299956639813</v>
      </c>
    </row>
    <row r="140" spans="1:3" ht="13.5">
      <c r="A140" t="s">
        <v>162</v>
      </c>
      <c r="C140">
        <f>B29/18</f>
        <v>25.226442</v>
      </c>
    </row>
    <row r="141" spans="1:3" ht="13.5">
      <c r="A141" s="48" t="s">
        <v>163</v>
      </c>
      <c r="B141" s="48"/>
      <c r="C141" s="48">
        <f>C140-C135*C139</f>
        <v>16.068742652252165</v>
      </c>
    </row>
    <row r="142" spans="1:3" ht="13.5">
      <c r="A142" t="s">
        <v>166</v>
      </c>
      <c r="C142">
        <f>E29/18</f>
        <v>-2.8010299956639813</v>
      </c>
    </row>
    <row r="143" spans="1:3" ht="13.5">
      <c r="A143" t="s">
        <v>164</v>
      </c>
      <c r="C143">
        <f>D29/18</f>
        <v>26.044704333333332</v>
      </c>
    </row>
    <row r="144" spans="1:3" ht="13.5">
      <c r="A144" s="48" t="s">
        <v>165</v>
      </c>
      <c r="B144" s="48"/>
      <c r="C144" s="48">
        <f>C143-C135*C142</f>
        <v>16.8870049855855</v>
      </c>
    </row>
    <row r="145" spans="1:3" ht="13.5">
      <c r="A145" t="s">
        <v>167</v>
      </c>
      <c r="C145">
        <f>G29/18</f>
        <v>-2.8010299956639813</v>
      </c>
    </row>
    <row r="146" spans="1:3" ht="13.5">
      <c r="A146" t="s">
        <v>168</v>
      </c>
      <c r="C146">
        <f>F29/18</f>
        <v>25.14299466666667</v>
      </c>
    </row>
    <row r="147" spans="1:3" ht="13.5">
      <c r="A147" s="48" t="s">
        <v>169</v>
      </c>
      <c r="B147" s="48"/>
      <c r="C147" s="48">
        <f>C146-C135*C145</f>
        <v>15.985295318918837</v>
      </c>
    </row>
    <row r="150" spans="1:2" ht="13.5">
      <c r="A150" s="47" t="s">
        <v>79</v>
      </c>
      <c r="B150" s="47"/>
    </row>
    <row r="151" ht="13.5">
      <c r="A151" t="s">
        <v>80</v>
      </c>
    </row>
    <row r="153" spans="1:3" ht="13.5">
      <c r="A153" t="s">
        <v>153</v>
      </c>
      <c r="C153">
        <f>C134/C133</f>
        <v>0.0003485184642973353</v>
      </c>
    </row>
    <row r="154" spans="1:3" ht="13.5">
      <c r="A154" t="s">
        <v>154</v>
      </c>
      <c r="C154">
        <f>SQRT(C153)</f>
        <v>0.018668649236014245</v>
      </c>
    </row>
  </sheetData>
  <printOptions/>
  <pageMargins left="0.75" right="0.75" top="1" bottom="1" header="0.512" footer="0.512"/>
  <pageSetup horizontalDpi="355" verticalDpi="35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24">
      <selection activeCell="C35" sqref="C35"/>
    </sheetView>
  </sheetViews>
  <sheetFormatPr defaultColWidth="9.00390625" defaultRowHeight="13.5"/>
  <cols>
    <col min="1" max="4" width="8.875" style="40" customWidth="1"/>
    <col min="5" max="5" width="9.00390625" style="40" bestFit="1" customWidth="1"/>
    <col min="6" max="16384" width="8.875" style="40" customWidth="1"/>
  </cols>
  <sheetData>
    <row r="1" spans="2:16" ht="13.5">
      <c r="B1" s="40" t="s">
        <v>108</v>
      </c>
      <c r="C1" s="40" t="s">
        <v>5</v>
      </c>
      <c r="D1" s="40" t="s">
        <v>12</v>
      </c>
      <c r="E1" s="40" t="s">
        <v>109</v>
      </c>
      <c r="F1" s="40" t="s">
        <v>110</v>
      </c>
      <c r="G1" s="40" t="s">
        <v>108</v>
      </c>
      <c r="H1" s="40" t="s">
        <v>5</v>
      </c>
      <c r="I1" s="40" t="s">
        <v>12</v>
      </c>
      <c r="J1" s="40" t="s">
        <v>109</v>
      </c>
      <c r="K1" s="40" t="s">
        <v>110</v>
      </c>
      <c r="L1" s="40" t="s">
        <v>108</v>
      </c>
      <c r="M1" s="40" t="s">
        <v>5</v>
      </c>
      <c r="N1" s="40" t="s">
        <v>12</v>
      </c>
      <c r="O1" s="40" t="s">
        <v>109</v>
      </c>
      <c r="P1" s="40" t="s">
        <v>110</v>
      </c>
    </row>
    <row r="2" spans="2:16" ht="13.5">
      <c r="B2" s="40">
        <v>-5.301029995663981</v>
      </c>
      <c r="C2" s="40">
        <v>33.660473</v>
      </c>
      <c r="D2" s="40">
        <f>B2^2</f>
        <v>28.100919014929268</v>
      </c>
      <c r="E2" s="40">
        <f aca="true" t="shared" si="0" ref="E2:E19">C2^2</f>
        <v>1133.0274425837292</v>
      </c>
      <c r="F2" s="40">
        <f>B2*C2</f>
        <v>-178.43517704123758</v>
      </c>
      <c r="G2" s="40">
        <v>-5.301029995663981</v>
      </c>
      <c r="H2" s="40">
        <v>34.209627</v>
      </c>
      <c r="I2" s="40">
        <f>G2^2</f>
        <v>28.100919014929268</v>
      </c>
      <c r="J2" s="40">
        <f aca="true" t="shared" si="1" ref="J2:J19">H2^2</f>
        <v>1170.2985794791289</v>
      </c>
      <c r="K2" s="40">
        <f>G2*H2</f>
        <v>-181.3462588674764</v>
      </c>
      <c r="L2" s="40">
        <v>-5.301029995663981</v>
      </c>
      <c r="M2" s="40">
        <v>33.401113</v>
      </c>
      <c r="N2" s="40">
        <f>L2^2</f>
        <v>28.100919014929268</v>
      </c>
      <c r="O2" s="40">
        <f aca="true" t="shared" si="2" ref="O2:O19">M2^2</f>
        <v>1115.6343496387692</v>
      </c>
      <c r="P2" s="40">
        <f>L2*M2</f>
        <v>-177.06030190156216</v>
      </c>
    </row>
    <row r="3" spans="2:16" ht="13.5">
      <c r="B3" s="40">
        <v>-5.301029995663981</v>
      </c>
      <c r="C3" s="40">
        <v>33.644222</v>
      </c>
      <c r="D3" s="40">
        <f aca="true" t="shared" si="3" ref="D3:D19">B3^2</f>
        <v>28.100919014929268</v>
      </c>
      <c r="E3" s="40">
        <f t="shared" si="0"/>
        <v>1131.933673985284</v>
      </c>
      <c r="F3" s="40">
        <f aca="true" t="shared" si="4" ref="F3:F19">B3*C3</f>
        <v>-178.34903000277802</v>
      </c>
      <c r="G3" s="40">
        <v>-5.301029995663981</v>
      </c>
      <c r="H3" s="40">
        <v>34.079914</v>
      </c>
      <c r="I3" s="40">
        <f aca="true" t="shared" si="5" ref="I3:I19">G3^2</f>
        <v>28.100919014929268</v>
      </c>
      <c r="J3" s="40">
        <f t="shared" si="1"/>
        <v>1161.4405382473963</v>
      </c>
      <c r="K3" s="40">
        <f aca="true" t="shared" si="6" ref="K3:K19">G3*H3</f>
        <v>-180.65864636364887</v>
      </c>
      <c r="L3" s="40">
        <v>-5.301029995663981</v>
      </c>
      <c r="M3" s="40">
        <v>33.076537</v>
      </c>
      <c r="N3" s="40">
        <f aca="true" t="shared" si="7" ref="N3:N19">L3^2</f>
        <v>28.100919014929268</v>
      </c>
      <c r="O3" s="40">
        <f t="shared" si="2"/>
        <v>1094.0572999123692</v>
      </c>
      <c r="P3" s="40">
        <f aca="true" t="shared" si="8" ref="P3:P19">L3*M3</f>
        <v>-175.33971478968954</v>
      </c>
    </row>
    <row r="4" spans="2:16" ht="13.5">
      <c r="B4" s="40">
        <v>-5.301029995663981</v>
      </c>
      <c r="C4" s="40">
        <v>32.153448</v>
      </c>
      <c r="D4" s="40">
        <f t="shared" si="3"/>
        <v>28.100919014929268</v>
      </c>
      <c r="E4" s="40">
        <f t="shared" si="0"/>
        <v>1033.8442182887038</v>
      </c>
      <c r="F4" s="40">
        <f t="shared" si="4"/>
        <v>-170.44639231202203</v>
      </c>
      <c r="G4" s="40">
        <v>-5.301029995663981</v>
      </c>
      <c r="H4" s="40">
        <v>33.663247</v>
      </c>
      <c r="I4" s="40">
        <f t="shared" si="5"/>
        <v>28.100919014929268</v>
      </c>
      <c r="J4" s="40">
        <f t="shared" si="1"/>
        <v>1133.214198583009</v>
      </c>
      <c r="K4" s="40">
        <f t="shared" si="6"/>
        <v>-178.44988209844553</v>
      </c>
      <c r="L4" s="40">
        <v>-5.301029995663981</v>
      </c>
      <c r="M4" s="40">
        <v>33.588914</v>
      </c>
      <c r="N4" s="40">
        <f t="shared" si="7"/>
        <v>28.100919014929268</v>
      </c>
      <c r="O4" s="40">
        <f t="shared" si="2"/>
        <v>1128.215143699396</v>
      </c>
      <c r="P4" s="40">
        <f t="shared" si="8"/>
        <v>-178.05584063577786</v>
      </c>
    </row>
    <row r="5" spans="2:16" ht="13.5">
      <c r="B5" s="40">
        <v>-4.301029995663981</v>
      </c>
      <c r="C5" s="40">
        <v>30.242362</v>
      </c>
      <c r="D5" s="40">
        <f t="shared" si="3"/>
        <v>18.498859023601305</v>
      </c>
      <c r="E5" s="40">
        <f t="shared" si="0"/>
        <v>914.600459339044</v>
      </c>
      <c r="F5" s="40">
        <f t="shared" si="4"/>
        <v>-130.07330610172855</v>
      </c>
      <c r="G5" s="40">
        <v>-4.301029995663981</v>
      </c>
      <c r="H5" s="40">
        <v>31.148068</v>
      </c>
      <c r="I5" s="40">
        <f t="shared" si="5"/>
        <v>18.498859023601305</v>
      </c>
      <c r="J5" s="40">
        <f t="shared" si="1"/>
        <v>970.2021401326239</v>
      </c>
      <c r="K5" s="40">
        <f t="shared" si="6"/>
        <v>-133.9687747749814</v>
      </c>
      <c r="L5" s="40">
        <v>-4.301029995663981</v>
      </c>
      <c r="M5" s="40">
        <v>30.16767</v>
      </c>
      <c r="N5" s="40">
        <f t="shared" si="7"/>
        <v>18.498859023601305</v>
      </c>
      <c r="O5" s="40">
        <f t="shared" si="2"/>
        <v>910.0883132289001</v>
      </c>
      <c r="P5" s="40">
        <f t="shared" si="8"/>
        <v>-129.75205356929243</v>
      </c>
    </row>
    <row r="6" spans="2:16" ht="13.5">
      <c r="B6" s="40">
        <v>-4.301029995663981</v>
      </c>
      <c r="C6" s="40">
        <v>30.311377</v>
      </c>
      <c r="D6" s="40">
        <f t="shared" si="3"/>
        <v>18.498859023601305</v>
      </c>
      <c r="E6" s="40">
        <f t="shared" si="0"/>
        <v>918.779575636129</v>
      </c>
      <c r="F6" s="40">
        <f t="shared" si="4"/>
        <v>-130.3701416868793</v>
      </c>
      <c r="G6" s="40">
        <v>-4.301029995663981</v>
      </c>
      <c r="H6" s="40">
        <v>31.203103</v>
      </c>
      <c r="I6" s="40">
        <f t="shared" si="5"/>
        <v>18.498859023601305</v>
      </c>
      <c r="J6" s="40">
        <f t="shared" si="1"/>
        <v>973.6336368286089</v>
      </c>
      <c r="K6" s="40">
        <f t="shared" si="6"/>
        <v>-134.20548196079275</v>
      </c>
      <c r="L6" s="40">
        <v>-4.301029995663981</v>
      </c>
      <c r="M6" s="40">
        <v>30.145107</v>
      </c>
      <c r="N6" s="40">
        <f t="shared" si="7"/>
        <v>18.498859023601305</v>
      </c>
      <c r="O6" s="40">
        <f t="shared" si="2"/>
        <v>908.727476041449</v>
      </c>
      <c r="P6" s="40">
        <f t="shared" si="8"/>
        <v>-129.65500942950024</v>
      </c>
    </row>
    <row r="7" spans="2:16" ht="13.5">
      <c r="B7" s="40">
        <v>-4.301029995663981</v>
      </c>
      <c r="C7" s="40">
        <v>30.28933</v>
      </c>
      <c r="D7" s="40">
        <f t="shared" si="3"/>
        <v>18.498859023601305</v>
      </c>
      <c r="E7" s="40">
        <f t="shared" si="0"/>
        <v>917.4435118489</v>
      </c>
      <c r="F7" s="40">
        <f t="shared" si="4"/>
        <v>-130.2753168785649</v>
      </c>
      <c r="G7" s="40">
        <v>-4.301029995663981</v>
      </c>
      <c r="H7" s="40">
        <v>31.164929</v>
      </c>
      <c r="I7" s="40">
        <f t="shared" si="5"/>
        <v>18.498859023601305</v>
      </c>
      <c r="J7" s="40">
        <f t="shared" si="1"/>
        <v>971.2527995750411</v>
      </c>
      <c r="K7" s="40">
        <f t="shared" si="6"/>
        <v>-134.04129444173827</v>
      </c>
      <c r="L7" s="40">
        <v>-4.301029995663981</v>
      </c>
      <c r="M7" s="40">
        <v>30.252591</v>
      </c>
      <c r="N7" s="40">
        <f t="shared" si="7"/>
        <v>18.498859023601305</v>
      </c>
      <c r="O7" s="40">
        <f t="shared" si="2"/>
        <v>915.2192622132809</v>
      </c>
      <c r="P7" s="40">
        <f t="shared" si="8"/>
        <v>-130.11730133755418</v>
      </c>
    </row>
    <row r="8" spans="2:16" ht="13.5">
      <c r="B8" s="40">
        <v>-3.3010299956639813</v>
      </c>
      <c r="C8" s="40">
        <v>27.061438</v>
      </c>
      <c r="D8" s="40">
        <f t="shared" si="3"/>
        <v>10.896799032273345</v>
      </c>
      <c r="E8" s="40">
        <f t="shared" si="0"/>
        <v>732.321426627844</v>
      </c>
      <c r="F8" s="40">
        <f t="shared" si="4"/>
        <v>-89.3306185638011</v>
      </c>
      <c r="G8" s="40">
        <v>-3.3010299956639813</v>
      </c>
      <c r="H8" s="40">
        <v>27.816874</v>
      </c>
      <c r="I8" s="40">
        <f t="shared" si="5"/>
        <v>10.896799032273345</v>
      </c>
      <c r="J8" s="40">
        <f t="shared" si="1"/>
        <v>773.7784791318759</v>
      </c>
      <c r="K8" s="40">
        <f t="shared" si="6"/>
        <v>-91.8243354596055</v>
      </c>
      <c r="L8" s="40">
        <v>-3.3010299956639813</v>
      </c>
      <c r="M8" s="40">
        <v>26.759277</v>
      </c>
      <c r="N8" s="40">
        <f t="shared" si="7"/>
        <v>10.896799032273345</v>
      </c>
      <c r="O8" s="40">
        <f t="shared" si="2"/>
        <v>716.058905562729</v>
      </c>
      <c r="P8" s="40">
        <f t="shared" si="8"/>
        <v>-88.33317603928127</v>
      </c>
    </row>
    <row r="9" spans="2:16" ht="13.5">
      <c r="B9" s="40">
        <v>-3.3010299956639813</v>
      </c>
      <c r="C9" s="40">
        <v>26.948425</v>
      </c>
      <c r="D9" s="40">
        <f t="shared" si="3"/>
        <v>10.896799032273345</v>
      </c>
      <c r="E9" s="40">
        <f t="shared" si="0"/>
        <v>726.2176099806251</v>
      </c>
      <c r="F9" s="40">
        <f t="shared" si="4"/>
        <v>-88.95755926090112</v>
      </c>
      <c r="G9" s="40">
        <v>-3.3010299956639813</v>
      </c>
      <c r="H9" s="40">
        <v>27.751061</v>
      </c>
      <c r="I9" s="40">
        <f t="shared" si="5"/>
        <v>10.896799032273345</v>
      </c>
      <c r="J9" s="40">
        <f t="shared" si="1"/>
        <v>770.121386625721</v>
      </c>
      <c r="K9" s="40">
        <f t="shared" si="6"/>
        <v>-91.60708477250088</v>
      </c>
      <c r="L9" s="40">
        <v>-3.3010299956639813</v>
      </c>
      <c r="M9" s="40">
        <v>26.819949</v>
      </c>
      <c r="N9" s="40">
        <f t="shared" si="7"/>
        <v>10.896799032273345</v>
      </c>
      <c r="O9" s="40">
        <f t="shared" si="2"/>
        <v>719.3096643626011</v>
      </c>
      <c r="P9" s="40">
        <f t="shared" si="8"/>
        <v>-88.5334561311782</v>
      </c>
    </row>
    <row r="10" spans="2:16" ht="13.5">
      <c r="B10" s="40">
        <v>-3.3010299956639813</v>
      </c>
      <c r="C10" s="40">
        <v>26.952996</v>
      </c>
      <c r="D10" s="40">
        <f t="shared" si="3"/>
        <v>10.896799032273345</v>
      </c>
      <c r="E10" s="40">
        <f t="shared" si="0"/>
        <v>726.463993376016</v>
      </c>
      <c r="F10" s="40">
        <f t="shared" si="4"/>
        <v>-88.9726482690113</v>
      </c>
      <c r="G10" s="40">
        <v>-3.3010299956639813</v>
      </c>
      <c r="H10" s="40">
        <v>27.791137</v>
      </c>
      <c r="I10" s="40">
        <f t="shared" si="5"/>
        <v>10.896799032273345</v>
      </c>
      <c r="J10" s="40">
        <f t="shared" si="1"/>
        <v>772.3472957527689</v>
      </c>
      <c r="K10" s="40">
        <f t="shared" si="6"/>
        <v>-91.7393768506071</v>
      </c>
      <c r="L10" s="40">
        <v>-3.3010299956639813</v>
      </c>
      <c r="M10" s="40">
        <v>26.789897</v>
      </c>
      <c r="N10" s="40">
        <f t="shared" si="7"/>
        <v>10.896799032273345</v>
      </c>
      <c r="O10" s="40">
        <f t="shared" si="2"/>
        <v>717.698581270609</v>
      </c>
      <c r="P10" s="40">
        <f t="shared" si="8"/>
        <v>-88.4342535777485</v>
      </c>
    </row>
    <row r="11" spans="2:16" ht="13.5">
      <c r="B11" s="40">
        <v>-2.3010299956639813</v>
      </c>
      <c r="C11" s="40">
        <v>23.571494</v>
      </c>
      <c r="D11" s="40">
        <f t="shared" si="3"/>
        <v>5.294739040945381</v>
      </c>
      <c r="E11" s="40">
        <f t="shared" si="0"/>
        <v>555.6153293920361</v>
      </c>
      <c r="F11" s="40">
        <f t="shared" si="4"/>
        <v>-54.23871473661357</v>
      </c>
      <c r="G11" s="40">
        <v>-2.3010299956639813</v>
      </c>
      <c r="H11" s="40">
        <v>24.384861</v>
      </c>
      <c r="I11" s="40">
        <f t="shared" si="5"/>
        <v>5.294739040945381</v>
      </c>
      <c r="J11" s="40">
        <f t="shared" si="1"/>
        <v>594.621445989321</v>
      </c>
      <c r="K11" s="40">
        <f t="shared" si="6"/>
        <v>-56.110296601096785</v>
      </c>
      <c r="L11" s="40">
        <v>-2.3010299956639813</v>
      </c>
      <c r="M11" s="40">
        <v>23.487427</v>
      </c>
      <c r="N11" s="40">
        <f t="shared" si="7"/>
        <v>5.294739040945381</v>
      </c>
      <c r="O11" s="40">
        <f t="shared" si="2"/>
        <v>551.6592270803291</v>
      </c>
      <c r="P11" s="40">
        <f t="shared" si="8"/>
        <v>-54.04527404796808</v>
      </c>
    </row>
    <row r="12" spans="2:16" ht="13.5">
      <c r="B12" s="40">
        <v>-2.3010299956639813</v>
      </c>
      <c r="C12" s="40">
        <v>23.538154</v>
      </c>
      <c r="D12" s="40">
        <f t="shared" si="3"/>
        <v>5.294739040945381</v>
      </c>
      <c r="E12" s="40">
        <f t="shared" si="0"/>
        <v>554.044693727716</v>
      </c>
      <c r="F12" s="40">
        <f t="shared" si="4"/>
        <v>-54.16199839655812</v>
      </c>
      <c r="G12" s="40">
        <v>-2.3010299956639813</v>
      </c>
      <c r="H12" s="40">
        <v>24.376683</v>
      </c>
      <c r="I12" s="40">
        <f t="shared" si="5"/>
        <v>5.294739040945381</v>
      </c>
      <c r="J12" s="40">
        <f t="shared" si="1"/>
        <v>594.222674082489</v>
      </c>
      <c r="K12" s="40">
        <f t="shared" si="6"/>
        <v>-56.09147877779225</v>
      </c>
      <c r="L12" s="40">
        <v>-2.3010299956639813</v>
      </c>
      <c r="M12" s="40">
        <v>23.433903</v>
      </c>
      <c r="N12" s="40">
        <f t="shared" si="7"/>
        <v>5.294739040945381</v>
      </c>
      <c r="O12" s="40">
        <f t="shared" si="2"/>
        <v>549.147809813409</v>
      </c>
      <c r="P12" s="40">
        <f t="shared" si="8"/>
        <v>-53.92211371848016</v>
      </c>
    </row>
    <row r="13" spans="2:16" ht="13.5">
      <c r="B13" s="40">
        <v>-2.3010299956639813</v>
      </c>
      <c r="C13" s="40">
        <v>23.572687</v>
      </c>
      <c r="D13" s="40">
        <f t="shared" si="3"/>
        <v>5.294739040945381</v>
      </c>
      <c r="E13" s="40">
        <f t="shared" si="0"/>
        <v>555.6715723999689</v>
      </c>
      <c r="F13" s="40">
        <f t="shared" si="4"/>
        <v>-54.24145986539838</v>
      </c>
      <c r="G13" s="40">
        <v>-2.3010299956639813</v>
      </c>
      <c r="H13" s="40">
        <v>24.393246</v>
      </c>
      <c r="I13" s="40">
        <f t="shared" si="5"/>
        <v>5.294739040945381</v>
      </c>
      <c r="J13" s="40">
        <f t="shared" si="1"/>
        <v>595.030450416516</v>
      </c>
      <c r="K13" s="40">
        <f t="shared" si="6"/>
        <v>-56.12959073761043</v>
      </c>
      <c r="L13" s="40">
        <v>-2.3010299956639813</v>
      </c>
      <c r="M13" s="40">
        <v>23.431775</v>
      </c>
      <c r="N13" s="40">
        <f t="shared" si="7"/>
        <v>5.294739040945381</v>
      </c>
      <c r="O13" s="40">
        <f t="shared" si="2"/>
        <v>549.0480796506249</v>
      </c>
      <c r="P13" s="40">
        <f t="shared" si="8"/>
        <v>-53.91721712664938</v>
      </c>
    </row>
    <row r="14" spans="2:16" ht="13.5">
      <c r="B14" s="40">
        <v>-1.3010299956639813</v>
      </c>
      <c r="C14" s="40">
        <v>20.207183</v>
      </c>
      <c r="D14" s="40">
        <f t="shared" si="3"/>
        <v>1.692679049617419</v>
      </c>
      <c r="E14" s="40">
        <f t="shared" si="0"/>
        <v>408.330244795489</v>
      </c>
      <c r="F14" s="40">
        <f t="shared" si="4"/>
        <v>-26.290151210871276</v>
      </c>
      <c r="G14" s="40">
        <v>-1.3010299956639813</v>
      </c>
      <c r="H14" s="40">
        <v>21.096776</v>
      </c>
      <c r="I14" s="40">
        <f t="shared" si="5"/>
        <v>1.692679049617419</v>
      </c>
      <c r="J14" s="40">
        <f t="shared" si="1"/>
        <v>445.0739575941759</v>
      </c>
      <c r="K14" s="40">
        <f t="shared" si="6"/>
        <v>-27.44753838780398</v>
      </c>
      <c r="L14" s="40">
        <v>-1.3010299956639813</v>
      </c>
      <c r="M14" s="40">
        <v>20.144107</v>
      </c>
      <c r="N14" s="40">
        <f t="shared" si="7"/>
        <v>1.692679049617419</v>
      </c>
      <c r="O14" s="40">
        <f t="shared" si="2"/>
        <v>405.7850468274491</v>
      </c>
      <c r="P14" s="40">
        <f t="shared" si="8"/>
        <v>-26.208087442864777</v>
      </c>
    </row>
    <row r="15" spans="2:16" ht="13.5">
      <c r="B15" s="40">
        <v>-1.3010299956639813</v>
      </c>
      <c r="C15" s="40">
        <v>20.174707</v>
      </c>
      <c r="D15" s="40">
        <f t="shared" si="3"/>
        <v>1.692679049617419</v>
      </c>
      <c r="E15" s="40">
        <f t="shared" si="0"/>
        <v>407.01880253584903</v>
      </c>
      <c r="F15" s="40">
        <f t="shared" si="4"/>
        <v>-26.247898960732094</v>
      </c>
      <c r="G15" s="40">
        <v>-1.3010299956639813</v>
      </c>
      <c r="H15" s="40">
        <v>21.036969</v>
      </c>
      <c r="I15" s="40">
        <f t="shared" si="5"/>
        <v>1.692679049617419</v>
      </c>
      <c r="J15" s="40">
        <f t="shared" si="1"/>
        <v>442.55406470696096</v>
      </c>
      <c r="K15" s="40">
        <f t="shared" si="6"/>
        <v>-27.369727686853306</v>
      </c>
      <c r="L15" s="40">
        <v>-1.3010299956639813</v>
      </c>
      <c r="M15" s="40">
        <v>20.075495</v>
      </c>
      <c r="N15" s="40">
        <f t="shared" si="7"/>
        <v>1.692679049617419</v>
      </c>
      <c r="O15" s="40">
        <f t="shared" si="2"/>
        <v>403.02549949502503</v>
      </c>
      <c r="P15" s="40">
        <f t="shared" si="8"/>
        <v>-26.118821172802278</v>
      </c>
    </row>
    <row r="16" spans="2:16" ht="13.5">
      <c r="B16" s="40">
        <v>-1.3010299956639813</v>
      </c>
      <c r="C16" s="40">
        <v>20.235154</v>
      </c>
      <c r="D16" s="40">
        <f t="shared" si="3"/>
        <v>1.692679049617419</v>
      </c>
      <c r="E16" s="40">
        <f t="shared" si="0"/>
        <v>409.46145740371605</v>
      </c>
      <c r="F16" s="40">
        <f t="shared" si="4"/>
        <v>-26.326542320879994</v>
      </c>
      <c r="G16" s="40">
        <v>-1.3010299956639813</v>
      </c>
      <c r="H16" s="40">
        <v>21.035632</v>
      </c>
      <c r="I16" s="40">
        <f t="shared" si="5"/>
        <v>1.692679049617419</v>
      </c>
      <c r="J16" s="40">
        <f t="shared" si="1"/>
        <v>442.497813639424</v>
      </c>
      <c r="K16" s="40">
        <f t="shared" si="6"/>
        <v>-27.367988209749104</v>
      </c>
      <c r="L16" s="40">
        <v>-1.3010299956639813</v>
      </c>
      <c r="M16" s="40">
        <v>20.022245</v>
      </c>
      <c r="N16" s="40">
        <f t="shared" si="7"/>
        <v>1.692679049617419</v>
      </c>
      <c r="O16" s="40">
        <f t="shared" si="2"/>
        <v>400.8902948400251</v>
      </c>
      <c r="P16" s="40">
        <f t="shared" si="8"/>
        <v>-26.049541325533173</v>
      </c>
    </row>
    <row r="17" spans="2:16" ht="13.5">
      <c r="B17" s="40">
        <v>-0.3010299956639812</v>
      </c>
      <c r="C17" s="40">
        <v>17.158092</v>
      </c>
      <c r="D17" s="40">
        <f t="shared" si="3"/>
        <v>0.09061905828945654</v>
      </c>
      <c r="E17" s="40">
        <f t="shared" si="0"/>
        <v>294.400121080464</v>
      </c>
      <c r="F17" s="40">
        <f t="shared" si="4"/>
        <v>-5.165100360362191</v>
      </c>
      <c r="G17" s="40">
        <v>-0.3010299956639812</v>
      </c>
      <c r="H17" s="40">
        <v>17.925966</v>
      </c>
      <c r="I17" s="40">
        <f t="shared" si="5"/>
        <v>0.09061905828945654</v>
      </c>
      <c r="J17" s="40">
        <f t="shared" si="1"/>
        <v>321.340257033156</v>
      </c>
      <c r="K17" s="40">
        <f t="shared" si="6"/>
        <v>-5.396253467252674</v>
      </c>
      <c r="L17" s="40">
        <v>-0.3010299956639812</v>
      </c>
      <c r="M17" s="40">
        <v>16.986402</v>
      </c>
      <c r="N17" s="40">
        <f t="shared" si="7"/>
        <v>0.09061905828945654</v>
      </c>
      <c r="O17" s="40">
        <f t="shared" si="2"/>
        <v>288.5378529056039</v>
      </c>
      <c r="P17" s="40">
        <f t="shared" si="8"/>
        <v>-5.113416520406641</v>
      </c>
    </row>
    <row r="18" spans="2:16" ht="13.5">
      <c r="B18" s="40">
        <v>-0.3010299956639812</v>
      </c>
      <c r="C18" s="40">
        <v>17.178907</v>
      </c>
      <c r="D18" s="40">
        <f t="shared" si="3"/>
        <v>0.09061905828945654</v>
      </c>
      <c r="E18" s="40">
        <f t="shared" si="0"/>
        <v>295.11484571464894</v>
      </c>
      <c r="F18" s="40">
        <f t="shared" si="4"/>
        <v>-5.171366299721936</v>
      </c>
      <c r="G18" s="40">
        <v>-0.3010299956639812</v>
      </c>
      <c r="H18" s="40">
        <v>17.86067</v>
      </c>
      <c r="I18" s="40">
        <f t="shared" si="5"/>
        <v>0.09061905828945654</v>
      </c>
      <c r="J18" s="40">
        <f t="shared" si="1"/>
        <v>319.00353284889997</v>
      </c>
      <c r="K18" s="40">
        <f t="shared" si="6"/>
        <v>-5.376597412655799</v>
      </c>
      <c r="L18" s="40">
        <v>-0.3010299956639812</v>
      </c>
      <c r="M18" s="40">
        <v>16.972118</v>
      </c>
      <c r="N18" s="40">
        <f t="shared" si="7"/>
        <v>0.09061905828945654</v>
      </c>
      <c r="O18" s="40">
        <f t="shared" si="2"/>
        <v>288.05278940592393</v>
      </c>
      <c r="P18" s="40">
        <f t="shared" si="8"/>
        <v>-5.109116607948577</v>
      </c>
    </row>
    <row r="19" spans="2:16" ht="13.5">
      <c r="B19" s="40">
        <v>-0.3010299956639812</v>
      </c>
      <c r="C19" s="40">
        <v>17.175507</v>
      </c>
      <c r="D19" s="40">
        <f t="shared" si="3"/>
        <v>0.09061905828945654</v>
      </c>
      <c r="E19" s="40">
        <f t="shared" si="0"/>
        <v>294.998040707049</v>
      </c>
      <c r="F19" s="40">
        <f t="shared" si="4"/>
        <v>-5.170342797736678</v>
      </c>
      <c r="G19" s="40">
        <v>-0.3010299956639812</v>
      </c>
      <c r="H19" s="40">
        <v>17.865915</v>
      </c>
      <c r="I19" s="40">
        <f t="shared" si="5"/>
        <v>0.09061905828945654</v>
      </c>
      <c r="J19" s="40">
        <f t="shared" si="1"/>
        <v>319.19091878722503</v>
      </c>
      <c r="K19" s="40">
        <f t="shared" si="6"/>
        <v>-5.378176314983057</v>
      </c>
      <c r="L19" s="40">
        <v>-0.3010299956639812</v>
      </c>
      <c r="M19" s="40">
        <v>17.019377</v>
      </c>
      <c r="N19" s="40">
        <f t="shared" si="7"/>
        <v>0.09061905828945654</v>
      </c>
      <c r="O19" s="40">
        <f t="shared" si="2"/>
        <v>289.65919346812893</v>
      </c>
      <c r="P19" s="40">
        <f t="shared" si="8"/>
        <v>-5.123342984513661</v>
      </c>
    </row>
    <row r="21" spans="2:12" ht="13.5">
      <c r="B21" s="40">
        <v>18</v>
      </c>
      <c r="G21" s="40">
        <v>18</v>
      </c>
      <c r="L21" s="40">
        <v>18</v>
      </c>
    </row>
    <row r="22" spans="2:16" ht="13.5">
      <c r="B22" s="40">
        <f>SUM(B2:B19)</f>
        <v>-50.41853992195166</v>
      </c>
      <c r="C22" s="40">
        <f aca="true" t="shared" si="9" ref="C22:P22">SUM(C2:C19)</f>
        <v>454.07595599999996</v>
      </c>
      <c r="D22" s="40">
        <f t="shared" si="9"/>
        <v>193.7238426589686</v>
      </c>
      <c r="E22" s="40">
        <f t="shared" si="9"/>
        <v>12009.287019423211</v>
      </c>
      <c r="F22" s="40">
        <f t="shared" si="9"/>
        <v>-1442.223765065798</v>
      </c>
      <c r="G22" s="40">
        <f t="shared" si="9"/>
        <v>-50.41853992195166</v>
      </c>
      <c r="H22" s="40">
        <f t="shared" si="9"/>
        <v>468.80467799999997</v>
      </c>
      <c r="I22" s="40">
        <f t="shared" si="9"/>
        <v>193.7238426589686</v>
      </c>
      <c r="J22" s="40">
        <f t="shared" si="9"/>
        <v>12769.824169454341</v>
      </c>
      <c r="K22" s="40">
        <f t="shared" si="9"/>
        <v>-1484.5087831855938</v>
      </c>
      <c r="L22" s="40">
        <f t="shared" si="9"/>
        <v>-50.41853992195166</v>
      </c>
      <c r="M22" s="40">
        <f t="shared" si="9"/>
        <v>452.5739040000001</v>
      </c>
      <c r="N22" s="40">
        <f t="shared" si="9"/>
        <v>193.7238426589686</v>
      </c>
      <c r="O22" s="40">
        <f t="shared" si="9"/>
        <v>11950.81478941662</v>
      </c>
      <c r="P22" s="40">
        <f t="shared" si="9"/>
        <v>-1440.8880383587511</v>
      </c>
    </row>
    <row r="24" spans="2:12" ht="13.5">
      <c r="B24" s="40">
        <f>(B21*F22-B22*C22)^2/(B21*(B21*D22-B22^2))</f>
        <v>552.7023085345837</v>
      </c>
      <c r="G24" s="40">
        <f>(G21*K22-G22*H22)^2/(G21*(G21*I22-G22^2))</f>
        <v>559.4027190335432</v>
      </c>
      <c r="L24" s="40">
        <f>(L21*P22-L22*M22)^2/(L21*(L21*N22-L22^2))</f>
        <v>571.4937461893652</v>
      </c>
    </row>
    <row r="26" spans="2:6" ht="13.5">
      <c r="B26" s="40">
        <f>B22+G22+L22</f>
        <v>-151.255619765855</v>
      </c>
      <c r="C26" s="40">
        <f>C22+H22+M22</f>
        <v>1375.454538</v>
      </c>
      <c r="D26" s="40">
        <f>D22+I22+N22</f>
        <v>581.1715279769058</v>
      </c>
      <c r="E26" s="40">
        <f>E22+J22+O22</f>
        <v>36729.92597829417</v>
      </c>
      <c r="F26" s="40">
        <f>F22+K22+P22</f>
        <v>-4367.620586610143</v>
      </c>
    </row>
    <row r="28" spans="1:5" ht="13.5">
      <c r="A28" s="40" t="s">
        <v>111</v>
      </c>
      <c r="B28" s="40" t="s">
        <v>112</v>
      </c>
      <c r="C28" s="40" t="s">
        <v>113</v>
      </c>
      <c r="D28" s="40" t="s">
        <v>114</v>
      </c>
      <c r="E28" s="40" t="s">
        <v>118</v>
      </c>
    </row>
    <row r="29" spans="1:5" ht="13.5">
      <c r="A29" s="40">
        <v>3</v>
      </c>
      <c r="B29" s="40">
        <f>B21+G21+L21</f>
        <v>54</v>
      </c>
      <c r="C29" s="40">
        <f>C26^2/B29</f>
        <v>35034.72566860729</v>
      </c>
      <c r="D29" s="40">
        <f>B26^2/B29</f>
        <v>423.67152797690557</v>
      </c>
      <c r="E29" s="40">
        <f>B26*C26/B29</f>
        <v>-3852.6894186101435</v>
      </c>
    </row>
    <row r="31" spans="3:5" ht="13.5">
      <c r="C31" s="40" t="s">
        <v>115</v>
      </c>
      <c r="D31" s="40" t="s">
        <v>116</v>
      </c>
      <c r="E31" s="40" t="s">
        <v>117</v>
      </c>
    </row>
    <row r="32" spans="3:5" ht="13.5">
      <c r="C32" s="40">
        <f>E26-C29</f>
        <v>1695.2003096868866</v>
      </c>
      <c r="D32" s="40">
        <f>D26-D29</f>
        <v>157.50000000000028</v>
      </c>
      <c r="E32" s="40">
        <f>F26-E29</f>
        <v>-514.9311679999992</v>
      </c>
    </row>
    <row r="34" spans="3:13" ht="13.5">
      <c r="C34" s="40" t="s">
        <v>119</v>
      </c>
      <c r="D34" s="40" t="s">
        <v>120</v>
      </c>
      <c r="E34" s="40" t="s">
        <v>121</v>
      </c>
      <c r="H34"/>
      <c r="I34" t="s">
        <v>126</v>
      </c>
      <c r="J34" t="s">
        <v>40</v>
      </c>
      <c r="K34" t="s">
        <v>41</v>
      </c>
      <c r="L34"/>
      <c r="M34" t="s">
        <v>128</v>
      </c>
    </row>
    <row r="35" spans="3:13" ht="13.5">
      <c r="C35" s="40">
        <f>(C22^2/B21)+(H22^2/G21)+(M22^2/L21)-C29</f>
        <v>8.9375821593203</v>
      </c>
      <c r="D35" s="40">
        <f>(B22^2/B21)+(G22^2/G21)+(L22^2/L21)-D29</f>
        <v>0</v>
      </c>
      <c r="E35" s="40">
        <f>(B22*C22/B21)+(G22*H22/G21)+(L22*M22/L21)-E29</f>
        <v>0</v>
      </c>
      <c r="H35" t="s">
        <v>129</v>
      </c>
      <c r="I35">
        <f>D41</f>
        <v>0.08062913626713453</v>
      </c>
      <c r="J35">
        <f>A29-1</f>
        <v>2</v>
      </c>
      <c r="K35">
        <f>I35/J35</f>
        <v>0.04031456813356726</v>
      </c>
      <c r="L35"/>
      <c r="M35"/>
    </row>
    <row r="36" spans="8:13" ht="13.5">
      <c r="H36" t="s">
        <v>43</v>
      </c>
      <c r="I36">
        <f>E41</f>
        <v>2.663953770074386</v>
      </c>
      <c r="J36">
        <f>B29-2*A29</f>
        <v>48</v>
      </c>
      <c r="K36">
        <f>I36/J36</f>
        <v>0.0554990368765497</v>
      </c>
      <c r="L36"/>
      <c r="M36">
        <f>K35/K36</f>
        <v>0.7264012206777878</v>
      </c>
    </row>
    <row r="37" spans="3:13" ht="13.5">
      <c r="C37" s="40" t="s">
        <v>122</v>
      </c>
      <c r="D37" s="40" t="s">
        <v>123</v>
      </c>
      <c r="E37" s="40" t="s">
        <v>124</v>
      </c>
      <c r="H37"/>
      <c r="I37"/>
      <c r="J37"/>
      <c r="K37"/>
      <c r="L37"/>
      <c r="M37"/>
    </row>
    <row r="38" spans="3:13" ht="13.5">
      <c r="C38" s="40">
        <f>C32-C35</f>
        <v>1686.2627275275663</v>
      </c>
      <c r="D38" s="40">
        <f>D32-D35</f>
        <v>157.50000000000028</v>
      </c>
      <c r="E38" s="40">
        <f>E32-E35</f>
        <v>-514.9311679999992</v>
      </c>
      <c r="H38"/>
      <c r="I38"/>
      <c r="J38"/>
      <c r="K38"/>
      <c r="L38"/>
      <c r="M38"/>
    </row>
    <row r="39" spans="8:13" ht="13.5">
      <c r="H39" t="s">
        <v>56</v>
      </c>
      <c r="I39">
        <f>E38^2/D38</f>
        <v>1683.5181446212248</v>
      </c>
      <c r="J39">
        <v>1</v>
      </c>
      <c r="K39">
        <f>I39/J39</f>
        <v>1683.5181446212248</v>
      </c>
      <c r="L39"/>
      <c r="M39"/>
    </row>
    <row r="40" spans="3:13" ht="13.5">
      <c r="C40" s="40" t="s">
        <v>144</v>
      </c>
      <c r="D40" s="40" t="s">
        <v>125</v>
      </c>
      <c r="E40" s="40" t="s">
        <v>45</v>
      </c>
      <c r="H40" t="s">
        <v>28</v>
      </c>
      <c r="I40">
        <f>C38-I39</f>
        <v>2.7445829063415204</v>
      </c>
      <c r="J40">
        <f>B29-A29-1</f>
        <v>50</v>
      </c>
      <c r="K40">
        <f>I40/J40</f>
        <v>0.05489165812683041</v>
      </c>
      <c r="L40"/>
      <c r="M40">
        <f>K39/K40</f>
        <v>30669.83585613969</v>
      </c>
    </row>
    <row r="41" spans="3:13" ht="13.5">
      <c r="C41" s="40">
        <f>(B24+G24+L24)</f>
        <v>1683.598773757492</v>
      </c>
      <c r="D41" s="40">
        <f>C41-(E38^2/D38)</f>
        <v>0.08062913626713453</v>
      </c>
      <c r="E41" s="40">
        <f>C38-C41</f>
        <v>2.663953770074386</v>
      </c>
      <c r="H41"/>
      <c r="I41"/>
      <c r="J41"/>
      <c r="K41"/>
      <c r="L41"/>
      <c r="M41"/>
    </row>
    <row r="42" spans="8:13" ht="13.5">
      <c r="H42"/>
      <c r="I42"/>
      <c r="J42"/>
      <c r="K42"/>
      <c r="L42"/>
      <c r="M42"/>
    </row>
    <row r="43" spans="8:13" ht="13.5">
      <c r="H43" t="s">
        <v>65</v>
      </c>
      <c r="I43">
        <f>C35</f>
        <v>8.9375821593203</v>
      </c>
      <c r="J43">
        <f>A29-1</f>
        <v>2</v>
      </c>
      <c r="K43">
        <f>I43/J43</f>
        <v>4.46879107966015</v>
      </c>
      <c r="L43"/>
      <c r="M43"/>
    </row>
    <row r="44" spans="3:13" ht="13.5">
      <c r="C44"/>
      <c r="H44" t="s">
        <v>28</v>
      </c>
      <c r="I44">
        <f>C38-(E38^2/D38)</f>
        <v>2.7445829063415204</v>
      </c>
      <c r="J44">
        <f>B29-A29-1</f>
        <v>50</v>
      </c>
      <c r="K44">
        <f>I44/J44</f>
        <v>0.05489165812683041</v>
      </c>
      <c r="L44"/>
      <c r="M44">
        <f>K43/K44</f>
        <v>81.4111147696567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3">
      <selection activeCell="H39" sqref="H39"/>
    </sheetView>
  </sheetViews>
  <sheetFormatPr defaultColWidth="9.00390625" defaultRowHeight="13.5"/>
  <cols>
    <col min="4" max="4" width="11.625" style="0" bestFit="1" customWidth="1"/>
    <col min="8" max="8" width="12.875" style="0" bestFit="1" customWidth="1"/>
  </cols>
  <sheetData>
    <row r="1" spans="1:16" ht="13.5">
      <c r="A1" s="40"/>
      <c r="B1" s="40" t="s">
        <v>108</v>
      </c>
      <c r="C1" s="40" t="s">
        <v>5</v>
      </c>
      <c r="D1" s="40" t="s">
        <v>12</v>
      </c>
      <c r="E1" s="40" t="s">
        <v>109</v>
      </c>
      <c r="F1" s="40" t="s">
        <v>110</v>
      </c>
      <c r="G1" s="40" t="s">
        <v>108</v>
      </c>
      <c r="H1" s="40" t="s">
        <v>5</v>
      </c>
      <c r="I1" s="40" t="s">
        <v>12</v>
      </c>
      <c r="J1" s="40" t="s">
        <v>109</v>
      </c>
      <c r="K1" s="40" t="s">
        <v>110</v>
      </c>
      <c r="L1" s="40" t="s">
        <v>108</v>
      </c>
      <c r="M1" s="40" t="s">
        <v>5</v>
      </c>
      <c r="N1" s="40" t="s">
        <v>12</v>
      </c>
      <c r="O1" s="40" t="s">
        <v>109</v>
      </c>
      <c r="P1" s="40" t="s">
        <v>110</v>
      </c>
    </row>
    <row r="2" spans="1:16" ht="13.5">
      <c r="A2" s="40"/>
      <c r="B2" s="40">
        <v>-5.301029995663981</v>
      </c>
      <c r="C2" s="40">
        <v>33.660473</v>
      </c>
      <c r="D2" s="40">
        <f>B2^2</f>
        <v>28.100919014929268</v>
      </c>
      <c r="E2" s="40">
        <f aca="true" t="shared" si="0" ref="E2:E19">C2^2</f>
        <v>1133.0274425837292</v>
      </c>
      <c r="F2" s="40">
        <f>B2*C2</f>
        <v>-178.43517704123758</v>
      </c>
      <c r="G2" s="40">
        <v>-5.301029995663981</v>
      </c>
      <c r="H2" s="40">
        <v>34.209627</v>
      </c>
      <c r="I2" s="40">
        <f>G2^2</f>
        <v>28.100919014929268</v>
      </c>
      <c r="J2" s="40">
        <f aca="true" t="shared" si="1" ref="J2:J19">H2^2</f>
        <v>1170.2985794791289</v>
      </c>
      <c r="K2" s="40">
        <f>G2*H2</f>
        <v>-181.3462588674764</v>
      </c>
      <c r="L2" s="40">
        <v>-5.301029995663981</v>
      </c>
      <c r="M2" s="40">
        <v>33.401113</v>
      </c>
      <c r="N2" s="40">
        <f>L2^2</f>
        <v>28.100919014929268</v>
      </c>
      <c r="O2" s="40">
        <f aca="true" t="shared" si="2" ref="O2:O19">M2^2</f>
        <v>1115.6343496387692</v>
      </c>
      <c r="P2" s="40">
        <f>L2*M2</f>
        <v>-177.06030190156216</v>
      </c>
    </row>
    <row r="3" spans="1:16" ht="13.5">
      <c r="A3" s="40"/>
      <c r="B3" s="40">
        <v>-5.301029995663981</v>
      </c>
      <c r="C3" s="40">
        <v>33.644222</v>
      </c>
      <c r="D3" s="40">
        <f aca="true" t="shared" si="3" ref="D3:D19">B3^2</f>
        <v>28.100919014929268</v>
      </c>
      <c r="E3" s="40">
        <f t="shared" si="0"/>
        <v>1131.933673985284</v>
      </c>
      <c r="F3" s="40">
        <f aca="true" t="shared" si="4" ref="F3:F19">B3*C3</f>
        <v>-178.34903000277802</v>
      </c>
      <c r="G3" s="40">
        <v>-5.301029995663981</v>
      </c>
      <c r="H3" s="40">
        <v>34.079914</v>
      </c>
      <c r="I3" s="40">
        <f aca="true" t="shared" si="5" ref="I3:I19">G3^2</f>
        <v>28.100919014929268</v>
      </c>
      <c r="J3" s="40">
        <f t="shared" si="1"/>
        <v>1161.4405382473963</v>
      </c>
      <c r="K3" s="40">
        <f aca="true" t="shared" si="6" ref="K3:K19">G3*H3</f>
        <v>-180.65864636364887</v>
      </c>
      <c r="L3" s="40">
        <v>-5.301029995663981</v>
      </c>
      <c r="M3" s="40">
        <v>33.076537</v>
      </c>
      <c r="N3" s="40">
        <f aca="true" t="shared" si="7" ref="N3:N19">L3^2</f>
        <v>28.100919014929268</v>
      </c>
      <c r="O3" s="40">
        <f t="shared" si="2"/>
        <v>1094.0572999123692</v>
      </c>
      <c r="P3" s="40">
        <f aca="true" t="shared" si="8" ref="P3:P19">L3*M3</f>
        <v>-175.33971478968954</v>
      </c>
    </row>
    <row r="4" spans="1:16" ht="13.5">
      <c r="A4" s="40"/>
      <c r="B4" s="40">
        <v>-5.301029995663981</v>
      </c>
      <c r="C4" s="40">
        <v>32.153448</v>
      </c>
      <c r="D4" s="40">
        <f t="shared" si="3"/>
        <v>28.100919014929268</v>
      </c>
      <c r="E4" s="40">
        <f t="shared" si="0"/>
        <v>1033.8442182887038</v>
      </c>
      <c r="F4" s="40">
        <f t="shared" si="4"/>
        <v>-170.44639231202203</v>
      </c>
      <c r="G4" s="40">
        <v>-5.301029995663981</v>
      </c>
      <c r="H4" s="40">
        <v>33.663247</v>
      </c>
      <c r="I4" s="40">
        <f t="shared" si="5"/>
        <v>28.100919014929268</v>
      </c>
      <c r="J4" s="40">
        <f t="shared" si="1"/>
        <v>1133.214198583009</v>
      </c>
      <c r="K4" s="40">
        <f t="shared" si="6"/>
        <v>-178.44988209844553</v>
      </c>
      <c r="L4" s="40">
        <v>-5.301029995663981</v>
      </c>
      <c r="M4" s="40">
        <v>33.588914</v>
      </c>
      <c r="N4" s="40">
        <f t="shared" si="7"/>
        <v>28.100919014929268</v>
      </c>
      <c r="O4" s="40">
        <f t="shared" si="2"/>
        <v>1128.215143699396</v>
      </c>
      <c r="P4" s="40">
        <f t="shared" si="8"/>
        <v>-178.05584063577786</v>
      </c>
    </row>
    <row r="5" spans="1:16" ht="13.5">
      <c r="A5" s="40"/>
      <c r="B5" s="40">
        <v>-4.301029995663981</v>
      </c>
      <c r="C5" s="40">
        <v>30.242362</v>
      </c>
      <c r="D5" s="40">
        <f t="shared" si="3"/>
        <v>18.498859023601305</v>
      </c>
      <c r="E5" s="40">
        <f t="shared" si="0"/>
        <v>914.600459339044</v>
      </c>
      <c r="F5" s="40">
        <f t="shared" si="4"/>
        <v>-130.07330610172855</v>
      </c>
      <c r="G5" s="40">
        <v>-4.301029995663981</v>
      </c>
      <c r="H5" s="40">
        <v>31.148068</v>
      </c>
      <c r="I5" s="40">
        <f t="shared" si="5"/>
        <v>18.498859023601305</v>
      </c>
      <c r="J5" s="40">
        <f t="shared" si="1"/>
        <v>970.2021401326239</v>
      </c>
      <c r="K5" s="40">
        <f t="shared" si="6"/>
        <v>-133.9687747749814</v>
      </c>
      <c r="L5" s="40">
        <v>-4.301029995663981</v>
      </c>
      <c r="M5" s="40">
        <v>30.16767</v>
      </c>
      <c r="N5" s="40">
        <f t="shared" si="7"/>
        <v>18.498859023601305</v>
      </c>
      <c r="O5" s="40">
        <f t="shared" si="2"/>
        <v>910.0883132289001</v>
      </c>
      <c r="P5" s="40">
        <f t="shared" si="8"/>
        <v>-129.75205356929243</v>
      </c>
    </row>
    <row r="6" spans="1:16" ht="13.5">
      <c r="A6" s="40"/>
      <c r="B6" s="40">
        <v>-4.301029995663981</v>
      </c>
      <c r="C6" s="40">
        <v>30.311377</v>
      </c>
      <c r="D6" s="40">
        <f t="shared" si="3"/>
        <v>18.498859023601305</v>
      </c>
      <c r="E6" s="40">
        <f t="shared" si="0"/>
        <v>918.779575636129</v>
      </c>
      <c r="F6" s="40">
        <f t="shared" si="4"/>
        <v>-130.3701416868793</v>
      </c>
      <c r="G6" s="40">
        <v>-4.301029995663981</v>
      </c>
      <c r="H6" s="40">
        <v>31.203103</v>
      </c>
      <c r="I6" s="40">
        <f t="shared" si="5"/>
        <v>18.498859023601305</v>
      </c>
      <c r="J6" s="40">
        <f t="shared" si="1"/>
        <v>973.6336368286089</v>
      </c>
      <c r="K6" s="40">
        <f t="shared" si="6"/>
        <v>-134.20548196079275</v>
      </c>
      <c r="L6" s="40">
        <v>-4.301029995663981</v>
      </c>
      <c r="M6" s="40">
        <v>30.145107</v>
      </c>
      <c r="N6" s="40">
        <f t="shared" si="7"/>
        <v>18.498859023601305</v>
      </c>
      <c r="O6" s="40">
        <f t="shared" si="2"/>
        <v>908.727476041449</v>
      </c>
      <c r="P6" s="40">
        <f t="shared" si="8"/>
        <v>-129.65500942950024</v>
      </c>
    </row>
    <row r="7" spans="1:16" ht="13.5">
      <c r="A7" s="40"/>
      <c r="B7" s="40">
        <v>-4.301029995663981</v>
      </c>
      <c r="C7" s="40">
        <v>30.28933</v>
      </c>
      <c r="D7" s="40">
        <f t="shared" si="3"/>
        <v>18.498859023601305</v>
      </c>
      <c r="E7" s="40">
        <f t="shared" si="0"/>
        <v>917.4435118489</v>
      </c>
      <c r="F7" s="40">
        <f t="shared" si="4"/>
        <v>-130.2753168785649</v>
      </c>
      <c r="G7" s="40">
        <v>-4.301029995663981</v>
      </c>
      <c r="H7" s="40">
        <v>31.164929</v>
      </c>
      <c r="I7" s="40">
        <f t="shared" si="5"/>
        <v>18.498859023601305</v>
      </c>
      <c r="J7" s="40">
        <f t="shared" si="1"/>
        <v>971.2527995750411</v>
      </c>
      <c r="K7" s="40">
        <f t="shared" si="6"/>
        <v>-134.04129444173827</v>
      </c>
      <c r="L7" s="40">
        <v>-4.301029995663981</v>
      </c>
      <c r="M7" s="40">
        <v>30.252591</v>
      </c>
      <c r="N7" s="40">
        <f t="shared" si="7"/>
        <v>18.498859023601305</v>
      </c>
      <c r="O7" s="40">
        <f t="shared" si="2"/>
        <v>915.2192622132809</v>
      </c>
      <c r="P7" s="40">
        <f t="shared" si="8"/>
        <v>-130.11730133755418</v>
      </c>
    </row>
    <row r="8" spans="1:16" ht="13.5">
      <c r="A8" s="40"/>
      <c r="B8" s="40">
        <v>-3.3010299956639813</v>
      </c>
      <c r="C8" s="40">
        <v>27.061438</v>
      </c>
      <c r="D8" s="40">
        <f t="shared" si="3"/>
        <v>10.896799032273345</v>
      </c>
      <c r="E8" s="40">
        <f t="shared" si="0"/>
        <v>732.321426627844</v>
      </c>
      <c r="F8" s="40">
        <f t="shared" si="4"/>
        <v>-89.3306185638011</v>
      </c>
      <c r="G8" s="40">
        <v>-3.3010299956639813</v>
      </c>
      <c r="H8" s="40">
        <v>27.816874</v>
      </c>
      <c r="I8" s="40">
        <f t="shared" si="5"/>
        <v>10.896799032273345</v>
      </c>
      <c r="J8" s="40">
        <f t="shared" si="1"/>
        <v>773.7784791318759</v>
      </c>
      <c r="K8" s="40">
        <f t="shared" si="6"/>
        <v>-91.8243354596055</v>
      </c>
      <c r="L8" s="40">
        <v>-3.3010299956639813</v>
      </c>
      <c r="M8" s="40">
        <v>26.759277</v>
      </c>
      <c r="N8" s="40">
        <f t="shared" si="7"/>
        <v>10.896799032273345</v>
      </c>
      <c r="O8" s="40">
        <f t="shared" si="2"/>
        <v>716.058905562729</v>
      </c>
      <c r="P8" s="40">
        <f t="shared" si="8"/>
        <v>-88.33317603928127</v>
      </c>
    </row>
    <row r="9" spans="1:16" ht="13.5">
      <c r="A9" s="40"/>
      <c r="B9" s="40">
        <v>-3.3010299956639813</v>
      </c>
      <c r="C9" s="40">
        <v>26.948425</v>
      </c>
      <c r="D9" s="40">
        <f t="shared" si="3"/>
        <v>10.896799032273345</v>
      </c>
      <c r="E9" s="40">
        <f t="shared" si="0"/>
        <v>726.2176099806251</v>
      </c>
      <c r="F9" s="40">
        <f t="shared" si="4"/>
        <v>-88.95755926090112</v>
      </c>
      <c r="G9" s="40">
        <v>-3.3010299956639813</v>
      </c>
      <c r="H9" s="40">
        <v>27.751061</v>
      </c>
      <c r="I9" s="40">
        <f t="shared" si="5"/>
        <v>10.896799032273345</v>
      </c>
      <c r="J9" s="40">
        <f t="shared" si="1"/>
        <v>770.121386625721</v>
      </c>
      <c r="K9" s="40">
        <f t="shared" si="6"/>
        <v>-91.60708477250088</v>
      </c>
      <c r="L9" s="40">
        <v>-3.3010299956639813</v>
      </c>
      <c r="M9" s="40">
        <v>26.819949</v>
      </c>
      <c r="N9" s="40">
        <f t="shared" si="7"/>
        <v>10.896799032273345</v>
      </c>
      <c r="O9" s="40">
        <f t="shared" si="2"/>
        <v>719.3096643626011</v>
      </c>
      <c r="P9" s="40">
        <f t="shared" si="8"/>
        <v>-88.5334561311782</v>
      </c>
    </row>
    <row r="10" spans="1:16" ht="13.5">
      <c r="A10" s="40"/>
      <c r="B10" s="40">
        <v>-3.3010299956639813</v>
      </c>
      <c r="C10" s="40">
        <v>26.952996</v>
      </c>
      <c r="D10" s="40">
        <f t="shared" si="3"/>
        <v>10.896799032273345</v>
      </c>
      <c r="E10" s="40">
        <f t="shared" si="0"/>
        <v>726.463993376016</v>
      </c>
      <c r="F10" s="40">
        <f t="shared" si="4"/>
        <v>-88.9726482690113</v>
      </c>
      <c r="G10" s="40">
        <v>-3.3010299956639813</v>
      </c>
      <c r="H10" s="40">
        <v>27.791137</v>
      </c>
      <c r="I10" s="40">
        <f t="shared" si="5"/>
        <v>10.896799032273345</v>
      </c>
      <c r="J10" s="40">
        <f t="shared" si="1"/>
        <v>772.3472957527689</v>
      </c>
      <c r="K10" s="40">
        <f t="shared" si="6"/>
        <v>-91.7393768506071</v>
      </c>
      <c r="L10" s="40">
        <v>-3.3010299956639813</v>
      </c>
      <c r="M10" s="40">
        <v>26.789897</v>
      </c>
      <c r="N10" s="40">
        <f t="shared" si="7"/>
        <v>10.896799032273345</v>
      </c>
      <c r="O10" s="40">
        <f t="shared" si="2"/>
        <v>717.698581270609</v>
      </c>
      <c r="P10" s="40">
        <f t="shared" si="8"/>
        <v>-88.4342535777485</v>
      </c>
    </row>
    <row r="11" spans="1:16" ht="13.5">
      <c r="A11" s="40"/>
      <c r="B11" s="40">
        <v>-2.3010299956639813</v>
      </c>
      <c r="C11" s="40">
        <v>23.571494</v>
      </c>
      <c r="D11" s="40">
        <f t="shared" si="3"/>
        <v>5.294739040945381</v>
      </c>
      <c r="E11" s="40">
        <f t="shared" si="0"/>
        <v>555.6153293920361</v>
      </c>
      <c r="F11" s="40">
        <f t="shared" si="4"/>
        <v>-54.23871473661357</v>
      </c>
      <c r="G11" s="40">
        <v>-2.3010299956639813</v>
      </c>
      <c r="H11" s="40">
        <v>24.384861</v>
      </c>
      <c r="I11" s="40">
        <f t="shared" si="5"/>
        <v>5.294739040945381</v>
      </c>
      <c r="J11" s="40">
        <f t="shared" si="1"/>
        <v>594.621445989321</v>
      </c>
      <c r="K11" s="40">
        <f t="shared" si="6"/>
        <v>-56.110296601096785</v>
      </c>
      <c r="L11" s="40">
        <v>-2.3010299956639813</v>
      </c>
      <c r="M11" s="40">
        <v>23.487427</v>
      </c>
      <c r="N11" s="40">
        <f t="shared" si="7"/>
        <v>5.294739040945381</v>
      </c>
      <c r="O11" s="40">
        <f t="shared" si="2"/>
        <v>551.6592270803291</v>
      </c>
      <c r="P11" s="40">
        <f t="shared" si="8"/>
        <v>-54.04527404796808</v>
      </c>
    </row>
    <row r="12" spans="1:16" ht="13.5">
      <c r="A12" s="40"/>
      <c r="B12" s="40">
        <v>-2.3010299956639813</v>
      </c>
      <c r="C12" s="40">
        <v>23.538154</v>
      </c>
      <c r="D12" s="40">
        <f t="shared" si="3"/>
        <v>5.294739040945381</v>
      </c>
      <c r="E12" s="40">
        <f t="shared" si="0"/>
        <v>554.044693727716</v>
      </c>
      <c r="F12" s="40">
        <f t="shared" si="4"/>
        <v>-54.16199839655812</v>
      </c>
      <c r="G12" s="40">
        <v>-2.3010299956639813</v>
      </c>
      <c r="H12" s="40">
        <v>24.376683</v>
      </c>
      <c r="I12" s="40">
        <f t="shared" si="5"/>
        <v>5.294739040945381</v>
      </c>
      <c r="J12" s="40">
        <f t="shared" si="1"/>
        <v>594.222674082489</v>
      </c>
      <c r="K12" s="40">
        <f t="shared" si="6"/>
        <v>-56.09147877779225</v>
      </c>
      <c r="L12" s="40">
        <v>-2.3010299956639813</v>
      </c>
      <c r="M12" s="40">
        <v>23.433903</v>
      </c>
      <c r="N12" s="40">
        <f t="shared" si="7"/>
        <v>5.294739040945381</v>
      </c>
      <c r="O12" s="40">
        <f t="shared" si="2"/>
        <v>549.147809813409</v>
      </c>
      <c r="P12" s="40">
        <f t="shared" si="8"/>
        <v>-53.92211371848016</v>
      </c>
    </row>
    <row r="13" spans="1:16" ht="13.5">
      <c r="A13" s="40"/>
      <c r="B13" s="40">
        <v>-2.3010299956639813</v>
      </c>
      <c r="C13" s="40">
        <v>23.572687</v>
      </c>
      <c r="D13" s="40">
        <f t="shared" si="3"/>
        <v>5.294739040945381</v>
      </c>
      <c r="E13" s="40">
        <f t="shared" si="0"/>
        <v>555.6715723999689</v>
      </c>
      <c r="F13" s="40">
        <f t="shared" si="4"/>
        <v>-54.24145986539838</v>
      </c>
      <c r="G13" s="40">
        <v>-2.3010299956639813</v>
      </c>
      <c r="H13" s="40">
        <v>24.393246</v>
      </c>
      <c r="I13" s="40">
        <f t="shared" si="5"/>
        <v>5.294739040945381</v>
      </c>
      <c r="J13" s="40">
        <f t="shared" si="1"/>
        <v>595.030450416516</v>
      </c>
      <c r="K13" s="40">
        <f t="shared" si="6"/>
        <v>-56.12959073761043</v>
      </c>
      <c r="L13" s="40">
        <v>-2.3010299956639813</v>
      </c>
      <c r="M13" s="40">
        <v>23.431775</v>
      </c>
      <c r="N13" s="40">
        <f t="shared" si="7"/>
        <v>5.294739040945381</v>
      </c>
      <c r="O13" s="40">
        <f t="shared" si="2"/>
        <v>549.0480796506249</v>
      </c>
      <c r="P13" s="40">
        <f t="shared" si="8"/>
        <v>-53.91721712664938</v>
      </c>
    </row>
    <row r="14" spans="1:16" ht="13.5">
      <c r="A14" s="40"/>
      <c r="B14" s="40">
        <v>-1.3010299956639813</v>
      </c>
      <c r="C14" s="40">
        <v>20.207183</v>
      </c>
      <c r="D14" s="40">
        <f t="shared" si="3"/>
        <v>1.692679049617419</v>
      </c>
      <c r="E14" s="40">
        <f t="shared" si="0"/>
        <v>408.330244795489</v>
      </c>
      <c r="F14" s="40">
        <f t="shared" si="4"/>
        <v>-26.290151210871276</v>
      </c>
      <c r="G14" s="40">
        <v>-1.3010299956639813</v>
      </c>
      <c r="H14" s="40">
        <v>21.096776</v>
      </c>
      <c r="I14" s="40">
        <f t="shared" si="5"/>
        <v>1.692679049617419</v>
      </c>
      <c r="J14" s="40">
        <f t="shared" si="1"/>
        <v>445.0739575941759</v>
      </c>
      <c r="K14" s="40">
        <f t="shared" si="6"/>
        <v>-27.44753838780398</v>
      </c>
      <c r="L14" s="40">
        <v>-1.3010299956639813</v>
      </c>
      <c r="M14" s="40">
        <v>20.144107</v>
      </c>
      <c r="N14" s="40">
        <f t="shared" si="7"/>
        <v>1.692679049617419</v>
      </c>
      <c r="O14" s="40">
        <f t="shared" si="2"/>
        <v>405.7850468274491</v>
      </c>
      <c r="P14" s="40">
        <f t="shared" si="8"/>
        <v>-26.208087442864777</v>
      </c>
    </row>
    <row r="15" spans="1:16" ht="13.5">
      <c r="A15" s="40"/>
      <c r="B15" s="40">
        <v>-1.3010299956639813</v>
      </c>
      <c r="C15" s="40">
        <v>20.174707</v>
      </c>
      <c r="D15" s="40">
        <f t="shared" si="3"/>
        <v>1.692679049617419</v>
      </c>
      <c r="E15" s="40">
        <f t="shared" si="0"/>
        <v>407.01880253584903</v>
      </c>
      <c r="F15" s="40">
        <f t="shared" si="4"/>
        <v>-26.247898960732094</v>
      </c>
      <c r="G15" s="40">
        <v>-1.3010299956639813</v>
      </c>
      <c r="H15" s="40">
        <v>21.036969</v>
      </c>
      <c r="I15" s="40">
        <f t="shared" si="5"/>
        <v>1.692679049617419</v>
      </c>
      <c r="J15" s="40">
        <f t="shared" si="1"/>
        <v>442.55406470696096</v>
      </c>
      <c r="K15" s="40">
        <f t="shared" si="6"/>
        <v>-27.369727686853306</v>
      </c>
      <c r="L15" s="40">
        <v>-1.3010299956639813</v>
      </c>
      <c r="M15" s="40">
        <v>20.075495</v>
      </c>
      <c r="N15" s="40">
        <f t="shared" si="7"/>
        <v>1.692679049617419</v>
      </c>
      <c r="O15" s="40">
        <f t="shared" si="2"/>
        <v>403.02549949502503</v>
      </c>
      <c r="P15" s="40">
        <f t="shared" si="8"/>
        <v>-26.118821172802278</v>
      </c>
    </row>
    <row r="16" spans="1:16" ht="13.5">
      <c r="A16" s="40"/>
      <c r="B16" s="40">
        <v>-1.3010299956639813</v>
      </c>
      <c r="C16" s="40">
        <v>20.235154</v>
      </c>
      <c r="D16" s="40">
        <f t="shared" si="3"/>
        <v>1.692679049617419</v>
      </c>
      <c r="E16" s="40">
        <f t="shared" si="0"/>
        <v>409.46145740371605</v>
      </c>
      <c r="F16" s="40">
        <f t="shared" si="4"/>
        <v>-26.326542320879994</v>
      </c>
      <c r="G16" s="40">
        <v>-1.3010299956639813</v>
      </c>
      <c r="H16" s="40">
        <v>21.035632</v>
      </c>
      <c r="I16" s="40">
        <f t="shared" si="5"/>
        <v>1.692679049617419</v>
      </c>
      <c r="J16" s="40">
        <f t="shared" si="1"/>
        <v>442.497813639424</v>
      </c>
      <c r="K16" s="40">
        <f t="shared" si="6"/>
        <v>-27.367988209749104</v>
      </c>
      <c r="L16" s="40">
        <v>-1.3010299956639813</v>
      </c>
      <c r="M16" s="40">
        <v>20.022245</v>
      </c>
      <c r="N16" s="40">
        <f t="shared" si="7"/>
        <v>1.692679049617419</v>
      </c>
      <c r="O16" s="40">
        <f t="shared" si="2"/>
        <v>400.8902948400251</v>
      </c>
      <c r="P16" s="40">
        <f t="shared" si="8"/>
        <v>-26.049541325533173</v>
      </c>
    </row>
    <row r="17" spans="1:16" ht="13.5">
      <c r="A17" s="40"/>
      <c r="B17" s="40">
        <v>-0.3010299956639812</v>
      </c>
      <c r="C17" s="40">
        <v>17.158092</v>
      </c>
      <c r="D17" s="40">
        <f t="shared" si="3"/>
        <v>0.09061905828945654</v>
      </c>
      <c r="E17" s="40">
        <f t="shared" si="0"/>
        <v>294.400121080464</v>
      </c>
      <c r="F17" s="40">
        <f t="shared" si="4"/>
        <v>-5.165100360362191</v>
      </c>
      <c r="G17" s="40">
        <v>-0.3010299956639812</v>
      </c>
      <c r="H17" s="40">
        <v>17.925966</v>
      </c>
      <c r="I17" s="40">
        <f t="shared" si="5"/>
        <v>0.09061905828945654</v>
      </c>
      <c r="J17" s="40">
        <f t="shared" si="1"/>
        <v>321.340257033156</v>
      </c>
      <c r="K17" s="40">
        <f t="shared" si="6"/>
        <v>-5.396253467252674</v>
      </c>
      <c r="L17" s="40">
        <v>-0.3010299956639812</v>
      </c>
      <c r="M17" s="40">
        <v>16.986402</v>
      </c>
      <c r="N17" s="40">
        <f t="shared" si="7"/>
        <v>0.09061905828945654</v>
      </c>
      <c r="O17" s="40">
        <f t="shared" si="2"/>
        <v>288.5378529056039</v>
      </c>
      <c r="P17" s="40">
        <f t="shared" si="8"/>
        <v>-5.113416520406641</v>
      </c>
    </row>
    <row r="18" spans="1:16" ht="13.5">
      <c r="A18" s="40"/>
      <c r="B18" s="40">
        <v>-0.3010299956639812</v>
      </c>
      <c r="C18" s="40">
        <v>17.178907</v>
      </c>
      <c r="D18" s="40">
        <f t="shared" si="3"/>
        <v>0.09061905828945654</v>
      </c>
      <c r="E18" s="40">
        <f t="shared" si="0"/>
        <v>295.11484571464894</v>
      </c>
      <c r="F18" s="40">
        <f t="shared" si="4"/>
        <v>-5.171366299721936</v>
      </c>
      <c r="G18" s="40">
        <v>-0.3010299956639812</v>
      </c>
      <c r="H18" s="40">
        <v>17.86067</v>
      </c>
      <c r="I18" s="40">
        <f t="shared" si="5"/>
        <v>0.09061905828945654</v>
      </c>
      <c r="J18" s="40">
        <f t="shared" si="1"/>
        <v>319.00353284889997</v>
      </c>
      <c r="K18" s="40">
        <f t="shared" si="6"/>
        <v>-5.376597412655799</v>
      </c>
      <c r="L18" s="40">
        <v>-0.3010299956639812</v>
      </c>
      <c r="M18" s="40">
        <v>16.972118</v>
      </c>
      <c r="N18" s="40">
        <f t="shared" si="7"/>
        <v>0.09061905828945654</v>
      </c>
      <c r="O18" s="40">
        <f t="shared" si="2"/>
        <v>288.05278940592393</v>
      </c>
      <c r="P18" s="40">
        <f t="shared" si="8"/>
        <v>-5.109116607948577</v>
      </c>
    </row>
    <row r="19" spans="1:16" ht="13.5">
      <c r="A19" s="40"/>
      <c r="B19" s="40">
        <v>-0.3010299956639812</v>
      </c>
      <c r="C19" s="40">
        <v>17.175507</v>
      </c>
      <c r="D19" s="40">
        <f t="shared" si="3"/>
        <v>0.09061905828945654</v>
      </c>
      <c r="E19" s="40">
        <f t="shared" si="0"/>
        <v>294.998040707049</v>
      </c>
      <c r="F19" s="40">
        <f t="shared" si="4"/>
        <v>-5.170342797736678</v>
      </c>
      <c r="G19" s="40">
        <v>-0.3010299956639812</v>
      </c>
      <c r="H19" s="40">
        <v>17.865915</v>
      </c>
      <c r="I19" s="40">
        <f t="shared" si="5"/>
        <v>0.09061905828945654</v>
      </c>
      <c r="J19" s="40">
        <f t="shared" si="1"/>
        <v>319.19091878722503</v>
      </c>
      <c r="K19" s="40">
        <f t="shared" si="6"/>
        <v>-5.378176314983057</v>
      </c>
      <c r="L19" s="40">
        <v>-0.3010299956639812</v>
      </c>
      <c r="M19" s="40">
        <v>17.019377</v>
      </c>
      <c r="N19" s="40">
        <f t="shared" si="7"/>
        <v>0.09061905828945654</v>
      </c>
      <c r="O19" s="40">
        <f t="shared" si="2"/>
        <v>289.65919346812893</v>
      </c>
      <c r="P19" s="40">
        <f t="shared" si="8"/>
        <v>-5.123342984513661</v>
      </c>
    </row>
    <row r="20" spans="1:16" ht="13.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3.5">
      <c r="A21" s="40"/>
      <c r="B21" s="40">
        <v>18</v>
      </c>
      <c r="C21" s="40"/>
      <c r="D21" s="40"/>
      <c r="E21" s="40"/>
      <c r="F21" s="40"/>
      <c r="G21" s="40">
        <v>18</v>
      </c>
      <c r="H21" s="40"/>
      <c r="I21" s="40"/>
      <c r="J21" s="40"/>
      <c r="K21" s="40"/>
      <c r="L21" s="40">
        <v>18</v>
      </c>
      <c r="M21" s="40"/>
      <c r="N21" s="40"/>
      <c r="O21" s="40"/>
      <c r="P21" s="40"/>
    </row>
    <row r="22" spans="1:16" ht="13.5">
      <c r="A22" s="40" t="s">
        <v>130</v>
      </c>
      <c r="B22" s="40">
        <f>SUM(B2:B19)</f>
        <v>-50.41853992195166</v>
      </c>
      <c r="C22" s="40">
        <f aca="true" t="shared" si="9" ref="C22:P22">SUM(C2:C19)</f>
        <v>454.07595599999996</v>
      </c>
      <c r="D22" s="40">
        <f t="shared" si="9"/>
        <v>193.7238426589686</v>
      </c>
      <c r="E22" s="40">
        <f t="shared" si="9"/>
        <v>12009.287019423211</v>
      </c>
      <c r="F22" s="40">
        <f t="shared" si="9"/>
        <v>-1442.223765065798</v>
      </c>
      <c r="G22" s="40">
        <f t="shared" si="9"/>
        <v>-50.41853992195166</v>
      </c>
      <c r="H22" s="40">
        <f t="shared" si="9"/>
        <v>468.80467799999997</v>
      </c>
      <c r="I22" s="40">
        <f t="shared" si="9"/>
        <v>193.7238426589686</v>
      </c>
      <c r="J22" s="40">
        <f t="shared" si="9"/>
        <v>12769.824169454341</v>
      </c>
      <c r="K22" s="40">
        <f t="shared" si="9"/>
        <v>-1484.5087831855938</v>
      </c>
      <c r="L22" s="40">
        <f t="shared" si="9"/>
        <v>-50.41853992195166</v>
      </c>
      <c r="M22" s="40">
        <f t="shared" si="9"/>
        <v>452.5739040000001</v>
      </c>
      <c r="N22" s="40">
        <f t="shared" si="9"/>
        <v>193.7238426589686</v>
      </c>
      <c r="O22" s="40">
        <f t="shared" si="9"/>
        <v>11950.81478941662</v>
      </c>
      <c r="P22" s="40">
        <f t="shared" si="9"/>
        <v>-1440.8880383587511</v>
      </c>
    </row>
    <row r="23" spans="1:16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3.5">
      <c r="A24" s="40"/>
      <c r="B24" s="40">
        <f>((B21*F22-B22*C22)^2/(B21*D22-B22^2))</f>
        <v>9948.641553622507</v>
      </c>
      <c r="C24" s="40"/>
      <c r="D24" s="40"/>
      <c r="E24" s="40"/>
      <c r="F24" s="40"/>
      <c r="G24" s="40">
        <f>((G21*K22-G22*H22)^2/(G21*I22-G22^2))</f>
        <v>10069.24894260378</v>
      </c>
      <c r="H24" s="40"/>
      <c r="I24" s="40"/>
      <c r="J24" s="40"/>
      <c r="K24" s="40"/>
      <c r="L24" s="40">
        <f>((L21*P22-L22*M22)^2/(L21*N22-L22^2))</f>
        <v>10286.887431408575</v>
      </c>
      <c r="M24" s="40"/>
      <c r="N24" s="40"/>
      <c r="O24" s="40"/>
      <c r="P24" s="40"/>
    </row>
    <row r="25" spans="1:16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3.5">
      <c r="A26" s="40"/>
      <c r="B26" s="40"/>
      <c r="C26" s="40" t="s">
        <v>131</v>
      </c>
      <c r="D26" s="40" t="s">
        <v>132</v>
      </c>
      <c r="E26" s="40" t="s">
        <v>133</v>
      </c>
      <c r="F26" s="40" t="s">
        <v>134</v>
      </c>
      <c r="G26" s="40" t="s">
        <v>135</v>
      </c>
      <c r="H26" s="40" t="s">
        <v>136</v>
      </c>
      <c r="I26" s="40" t="s">
        <v>137</v>
      </c>
      <c r="J26" s="40" t="s">
        <v>41</v>
      </c>
      <c r="K26" s="40"/>
      <c r="L26" s="40"/>
      <c r="M26" s="40"/>
      <c r="N26" s="40"/>
      <c r="O26" s="40"/>
      <c r="P26" s="40"/>
    </row>
    <row r="27" spans="1:16" ht="13.5">
      <c r="A27" s="40">
        <v>1</v>
      </c>
      <c r="B27" s="40">
        <v>17</v>
      </c>
      <c r="C27" s="40">
        <f>D22-(B22^2/B21)</f>
        <v>52.500000000000085</v>
      </c>
      <c r="D27" s="40">
        <f>F22-(B22*C22/B21)</f>
        <v>-170.343392</v>
      </c>
      <c r="E27" s="40">
        <f>E22-(C22^2/B21)</f>
        <v>554.5662517946603</v>
      </c>
      <c r="F27" s="40">
        <f>D27/C27</f>
        <v>-3.2446360380952326</v>
      </c>
      <c r="G27" s="40">
        <v>16</v>
      </c>
      <c r="H27" s="40">
        <f>E27-(D27^2/C27)</f>
        <v>1.8639432600771215</v>
      </c>
      <c r="I27" s="40"/>
      <c r="J27" s="40"/>
      <c r="K27" s="40"/>
      <c r="L27" s="40"/>
      <c r="M27" s="40"/>
      <c r="N27" s="40"/>
      <c r="O27" s="40"/>
      <c r="P27" s="40"/>
    </row>
    <row r="28" spans="1:16" ht="13.5">
      <c r="A28" s="40">
        <v>2</v>
      </c>
      <c r="B28" s="40">
        <v>17</v>
      </c>
      <c r="C28" s="40">
        <f>I22-(B22^2/G21)</f>
        <v>52.500000000000085</v>
      </c>
      <c r="D28" s="40">
        <f>K22-(G22*H22/G21)</f>
        <v>-171.37281799999982</v>
      </c>
      <c r="E28" s="40">
        <f>J22-(H22^2/G21)</f>
        <v>559.9449408608052</v>
      </c>
      <c r="F28" s="40">
        <f>D28/C28</f>
        <v>-3.2642441523809436</v>
      </c>
      <c r="G28" s="40">
        <v>16</v>
      </c>
      <c r="H28" s="40">
        <f>E28-(D28^2/C28)</f>
        <v>0.5422218272620967</v>
      </c>
      <c r="I28" s="40"/>
      <c r="J28" s="40"/>
      <c r="K28" s="40"/>
      <c r="L28" s="40"/>
      <c r="M28" s="40"/>
      <c r="N28" s="40"/>
      <c r="O28" s="40"/>
      <c r="P28" s="40"/>
    </row>
    <row r="29" spans="1:16" ht="13.5">
      <c r="A29" s="40">
        <v>3</v>
      </c>
      <c r="B29" s="40">
        <v>17</v>
      </c>
      <c r="C29" s="40">
        <f>N22-(L22^2/L21)</f>
        <v>52.500000000000085</v>
      </c>
      <c r="D29" s="40">
        <f>P22-(L22*M22/L21)</f>
        <v>-173.2149579999998</v>
      </c>
      <c r="E29" s="40">
        <f>O22-(M22^2/L21)</f>
        <v>571.7515348721026</v>
      </c>
      <c r="F29" s="40">
        <f>D29/C29</f>
        <v>-3.2993325333333243</v>
      </c>
      <c r="G29" s="40">
        <v>16</v>
      </c>
      <c r="H29" s="40">
        <f>E29-(D29^2/C29)</f>
        <v>0.2577886827380098</v>
      </c>
      <c r="I29" s="40"/>
      <c r="J29" s="40"/>
      <c r="K29" s="40"/>
      <c r="L29" s="40"/>
      <c r="M29" s="40"/>
      <c r="N29" s="40"/>
      <c r="O29" s="40"/>
      <c r="P29" s="40"/>
    </row>
    <row r="30" spans="1:16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3.5">
      <c r="A31" s="40" t="s">
        <v>138</v>
      </c>
      <c r="B31" s="40"/>
      <c r="C31" s="40"/>
      <c r="D31" s="40"/>
      <c r="E31" s="40"/>
      <c r="F31" s="40"/>
      <c r="G31" s="40">
        <f>SUM(G27:G29)</f>
        <v>48</v>
      </c>
      <c r="H31" s="40">
        <f>SUM(H27:H29)</f>
        <v>2.663953770077228</v>
      </c>
      <c r="I31" s="40"/>
      <c r="J31" s="40">
        <f>H31/G31</f>
        <v>0.05549903687660892</v>
      </c>
      <c r="K31" s="40"/>
      <c r="L31" s="40"/>
      <c r="M31" s="40"/>
      <c r="N31" s="40"/>
      <c r="O31" s="40"/>
      <c r="P31" s="40"/>
    </row>
    <row r="32" spans="1:16" ht="13.5">
      <c r="A32" s="40" t="s">
        <v>139</v>
      </c>
      <c r="B32" s="40"/>
      <c r="C32" s="40"/>
      <c r="D32" s="40"/>
      <c r="E32" s="40"/>
      <c r="F32" s="40"/>
      <c r="G32" s="40">
        <v>2</v>
      </c>
      <c r="H32" s="40"/>
      <c r="I32" s="40">
        <f>H33-H31</f>
        <v>0.08062913626292811</v>
      </c>
      <c r="J32" s="40">
        <f>I32/G32</f>
        <v>0.04031456813146406</v>
      </c>
      <c r="K32" s="40"/>
      <c r="L32" s="40">
        <f>J32/J31</f>
        <v>0.7264012206391165</v>
      </c>
      <c r="M32" s="40"/>
      <c r="N32" s="40"/>
      <c r="O32" s="40"/>
      <c r="P32" s="40"/>
    </row>
    <row r="33" spans="1:16" ht="13.5">
      <c r="A33" s="40" t="s">
        <v>140</v>
      </c>
      <c r="B33" s="40">
        <f>SUM(B27:B29)</f>
        <v>51</v>
      </c>
      <c r="C33" s="40">
        <f>SUM(C27:C29)</f>
        <v>157.50000000000026</v>
      </c>
      <c r="D33" s="40">
        <f>SUM(D27:D29)</f>
        <v>-514.9311679999996</v>
      </c>
      <c r="E33" s="40">
        <f>SUM(E27:E29)</f>
        <v>1686.2627275275681</v>
      </c>
      <c r="F33" s="40">
        <f>D33/C33</f>
        <v>-3.2694042412698336</v>
      </c>
      <c r="G33" s="40">
        <f>SUM(G31:G32)</f>
        <v>50</v>
      </c>
      <c r="H33" s="40">
        <f>E33-(D33^2/C33)</f>
        <v>2.744582906340156</v>
      </c>
      <c r="I33" s="40"/>
      <c r="J33" s="40">
        <f>H33/G33</f>
        <v>0.05489165812680312</v>
      </c>
      <c r="K33" s="40"/>
      <c r="L33" s="40"/>
      <c r="M33" s="40"/>
      <c r="N33" s="40"/>
      <c r="O33" s="40"/>
      <c r="P33" s="40"/>
    </row>
    <row r="34" spans="1:16" ht="13.5">
      <c r="A34" s="40" t="s">
        <v>141</v>
      </c>
      <c r="B34" s="40">
        <v>2</v>
      </c>
      <c r="C34" s="40">
        <f>C35-C33</f>
        <v>0</v>
      </c>
      <c r="D34" s="40">
        <f>D35-D33</f>
        <v>0</v>
      </c>
      <c r="E34" s="40">
        <f>E35-E33</f>
        <v>8.937582159318481</v>
      </c>
      <c r="F34" s="40"/>
      <c r="G34" s="40">
        <v>2</v>
      </c>
      <c r="H34" s="40"/>
      <c r="I34" s="40">
        <f>E34+(D33^2/C33)-(D35^2/C35)</f>
        <v>8.937582159321664</v>
      </c>
      <c r="J34" s="40">
        <f>I34/G34</f>
        <v>4.468791079660832</v>
      </c>
      <c r="K34" s="40"/>
      <c r="L34" s="40">
        <f>J34/J33</f>
        <v>81.41111476970961</v>
      </c>
      <c r="M34" s="40"/>
      <c r="N34" s="40"/>
      <c r="O34" s="40"/>
      <c r="P34" s="40"/>
    </row>
    <row r="35" spans="1:16" ht="13.5">
      <c r="A35" s="40" t="s">
        <v>142</v>
      </c>
      <c r="B35" s="40">
        <v>53</v>
      </c>
      <c r="C35" s="40">
        <f>(D22+I22+N22)-((B22+G22+L22)^2/(B21+G21+L21))</f>
        <v>157.50000000000028</v>
      </c>
      <c r="D35" s="40">
        <f>(F22+K22+P22)-((B22+G22+L22)*(C22+H22+M22)/(B21+G21+L21))</f>
        <v>-514.9311679999992</v>
      </c>
      <c r="E35" s="40">
        <f>(E22+J22+O22)-((C22+H22+M22)^2/(B21+G21+L21))</f>
        <v>1695.2003096868866</v>
      </c>
      <c r="F35" s="40"/>
      <c r="G35" s="40">
        <v>52</v>
      </c>
      <c r="H35" s="40">
        <f>E35-(D35^2/C35)</f>
        <v>11.68216506566182</v>
      </c>
      <c r="I35" s="40"/>
      <c r="J35" s="40"/>
      <c r="K35" s="40"/>
      <c r="L35" s="40"/>
      <c r="M35" s="40"/>
      <c r="N35" s="40"/>
      <c r="O35" s="40"/>
      <c r="P35" s="40"/>
    </row>
    <row r="36" spans="1:16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3.5">
      <c r="A37" s="40"/>
      <c r="B37" s="40"/>
      <c r="C37" s="40"/>
      <c r="D37" s="40"/>
      <c r="E37" s="40"/>
      <c r="F37" s="40"/>
      <c r="G37" s="40"/>
      <c r="N37" s="40"/>
      <c r="O37" s="40"/>
      <c r="P37" s="40"/>
    </row>
    <row r="38" spans="1:16" ht="13.5">
      <c r="A38" s="40"/>
      <c r="B38" s="40"/>
      <c r="C38" s="40"/>
      <c r="D38" s="40"/>
      <c r="E38" s="40"/>
      <c r="F38" s="40"/>
      <c r="G38" s="40" t="s">
        <v>127</v>
      </c>
      <c r="H38">
        <f>(I32/(3-1))/(H31/(54-2*3))</f>
        <v>0.7264012206391165</v>
      </c>
      <c r="N38" s="40"/>
      <c r="O38" s="40"/>
      <c r="P38" s="40"/>
    </row>
    <row r="39" spans="1:16" ht="13.5">
      <c r="A39" s="40"/>
      <c r="B39" s="40"/>
      <c r="C39" s="40"/>
      <c r="D39" s="40"/>
      <c r="E39" s="40"/>
      <c r="F39" s="40"/>
      <c r="G39" s="40" t="s">
        <v>143</v>
      </c>
      <c r="H39">
        <f>(I34/(3-1))/(H33/(54-3-1))</f>
        <v>81.41111476970961</v>
      </c>
      <c r="N39" s="40"/>
      <c r="O39" s="40"/>
      <c r="P39" s="40"/>
    </row>
    <row r="40" spans="1:16" ht="13.5">
      <c r="A40" s="40"/>
      <c r="B40" s="40"/>
      <c r="C40" s="40"/>
      <c r="D40" s="40"/>
      <c r="E40" s="40"/>
      <c r="F40" s="40"/>
      <c r="G40" s="40"/>
      <c r="N40" s="40"/>
      <c r="O40" s="40"/>
      <c r="P40" s="40"/>
    </row>
    <row r="41" spans="1:16" ht="13.5">
      <c r="A41" s="40"/>
      <c r="B41" s="40"/>
      <c r="C41" s="40"/>
      <c r="D41" s="40"/>
      <c r="E41" s="40"/>
      <c r="F41" s="40"/>
      <c r="G41" s="40"/>
      <c r="N41" s="40"/>
      <c r="O41" s="40"/>
      <c r="P41" s="40"/>
    </row>
    <row r="42" spans="1:16" ht="13.5">
      <c r="A42" s="40"/>
      <c r="B42" s="40"/>
      <c r="C42" s="40"/>
      <c r="D42" s="40"/>
      <c r="E42" s="40"/>
      <c r="F42" s="40"/>
      <c r="G42" s="40"/>
      <c r="N42" s="40"/>
      <c r="O42" s="40"/>
      <c r="P42" s="40"/>
    </row>
    <row r="43" spans="1:16" ht="13.5">
      <c r="A43" s="40"/>
      <c r="B43" s="40"/>
      <c r="C43" s="40"/>
      <c r="D43" s="40"/>
      <c r="E43" s="40"/>
      <c r="F43" s="40"/>
      <c r="G43" s="40"/>
      <c r="N43" s="40"/>
      <c r="O43" s="40"/>
      <c r="P43" s="40"/>
    </row>
    <row r="44" spans="1:16" ht="13.5">
      <c r="A44" s="40"/>
      <c r="B44" s="40"/>
      <c r="C44" s="40"/>
      <c r="D44" s="40"/>
      <c r="E44" s="40"/>
      <c r="F44" s="40"/>
      <c r="G44" s="40"/>
      <c r="N44" s="40"/>
      <c r="O44" s="40"/>
      <c r="P44" s="40"/>
    </row>
    <row r="45" spans="1:16" ht="13.5">
      <c r="A45" s="40"/>
      <c r="B45" s="40"/>
      <c r="C45" s="40"/>
      <c r="D45" s="40"/>
      <c r="E45" s="40"/>
      <c r="F45" s="40"/>
      <c r="G45" s="40"/>
      <c r="N45" s="40"/>
      <c r="O45" s="40"/>
      <c r="P45" s="40"/>
    </row>
    <row r="46" spans="1:16" ht="13.5">
      <c r="A46" s="40"/>
      <c r="B46" s="40"/>
      <c r="C46" s="40"/>
      <c r="D46" s="40"/>
      <c r="E46" s="40"/>
      <c r="F46" s="40"/>
      <c r="G46" s="40"/>
      <c r="N46" s="40"/>
      <c r="O46" s="40"/>
      <c r="P46" s="40"/>
    </row>
    <row r="47" spans="1:16" ht="13.5">
      <c r="A47" s="40"/>
      <c r="B47" s="40"/>
      <c r="D47" s="40"/>
      <c r="E47" s="40"/>
      <c r="F47" s="40"/>
      <c r="G47" s="40"/>
      <c r="N47" s="40"/>
      <c r="O47" s="40"/>
      <c r="P47" s="4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sigemitu</dc:creator>
  <cp:keywords/>
  <dc:description/>
  <cp:lastModifiedBy>新重光</cp:lastModifiedBy>
  <dcterms:created xsi:type="dcterms:W3CDTF">2003-10-24T02:20:37Z</dcterms:created>
  <dcterms:modified xsi:type="dcterms:W3CDTF">2003-10-25T02:35:25Z</dcterms:modified>
  <cp:category/>
  <cp:version/>
  <cp:contentType/>
  <cp:contentStatus/>
</cp:coreProperties>
</file>