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'Sheet1'!$A$1:$X$33</definedName>
  </definedNames>
  <calcPr fullCalcOnLoad="1"/>
</workbook>
</file>

<file path=xl/sharedStrings.xml><?xml version="1.0" encoding="utf-8"?>
<sst xmlns="http://schemas.openxmlformats.org/spreadsheetml/2006/main" count="137" uniqueCount="118">
  <si>
    <t>要因</t>
  </si>
  <si>
    <t>総計</t>
  </si>
  <si>
    <t>平均 (xi_)</t>
  </si>
  <si>
    <t>平均 (x_)</t>
  </si>
  <si>
    <t>平均</t>
  </si>
  <si>
    <t>x4=</t>
  </si>
  <si>
    <t>x5=</t>
  </si>
  <si>
    <t>x6=</t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</si>
  <si>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  <r>
      <rPr>
        <sz val="11"/>
        <rFont val="ＭＳ Ｐゴシック"/>
        <family val="0"/>
      </rPr>
      <t xml:space="preserve"> = Σ</t>
    </r>
    <r>
      <rPr>
        <i/>
        <sz val="11"/>
        <rFont val="ＭＳ Ｐゴシック"/>
        <family val="3"/>
      </rPr>
      <t>(i=1～3)</t>
    </r>
    <r>
      <rPr>
        <sz val="11"/>
        <rFont val="ＭＳ Ｐゴシック"/>
        <family val="0"/>
      </rPr>
      <t>xi_/3 =</t>
    </r>
  </si>
  <si>
    <t>平方和</t>
  </si>
  <si>
    <t>自由度</t>
  </si>
  <si>
    <t xml:space="preserve">fp = p-1 = </t>
  </si>
  <si>
    <t>平均平方</t>
  </si>
  <si>
    <t>MSp = SSp/fp =</t>
  </si>
  <si>
    <t>MSt = SSt/ft =</t>
  </si>
  <si>
    <t>Ｆ値</t>
  </si>
  <si>
    <t>&lt;</t>
  </si>
  <si>
    <t>F値</t>
  </si>
  <si>
    <t>有意確率</t>
  </si>
  <si>
    <t xml:space="preserve"> </t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</si>
  <si>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</si>
  <si>
    <t xml:space="preserve">x2_ = </t>
  </si>
  <si>
    <t>x3_ =</t>
  </si>
  <si>
    <t>計算結果</t>
  </si>
  <si>
    <t>5％Ｆ境界値</t>
  </si>
  <si>
    <t>分散</t>
  </si>
  <si>
    <t>測定誤差分散   Ve = σe2 = MSe ＝</t>
  </si>
  <si>
    <t>相対値（％）</t>
  </si>
  <si>
    <t>呼称濃度</t>
  </si>
  <si>
    <t>jcss校正時の値付けの拡張不確かさ（包含係数 k = 2 とする） U ＝ｋｕ＝</t>
  </si>
  <si>
    <t xml:space="preserve">i : p = </t>
  </si>
  <si>
    <t>相対値（％）</t>
  </si>
  <si>
    <t>jcss校正時の値付けの合成標準不確かさ u = √(up2+uq2++ur2+ue2+uP2+uS2) ＝</t>
  </si>
  <si>
    <t>％</t>
  </si>
  <si>
    <t>純度の標準不確かさ　uP =</t>
  </si>
  <si>
    <t>jcss校正時の値付けの拡張不確かさ（包含係数 k = 2 とする） U = ｋｕ =</t>
  </si>
  <si>
    <t>平均平方の期待値</t>
  </si>
  <si>
    <t>SSp</t>
  </si>
  <si>
    <t>p-1</t>
  </si>
  <si>
    <t>MSp</t>
  </si>
  <si>
    <t>測定誤差</t>
  </si>
  <si>
    <t>SSe</t>
  </si>
  <si>
    <t>MSe</t>
  </si>
  <si>
    <t>σe2</t>
  </si>
  <si>
    <t>日間</t>
  </si>
  <si>
    <t>被験者間効果の検定</t>
  </si>
  <si>
    <t>(三段枝分かれ分析）</t>
  </si>
  <si>
    <t xml:space="preserve">従属変数: ANAL </t>
  </si>
  <si>
    <t>ｿｰｽ</t>
  </si>
  <si>
    <t>ﾀｲﾌﾟ III 平方和</t>
  </si>
  <si>
    <t>自由度</t>
  </si>
  <si>
    <t>平均平方</t>
  </si>
  <si>
    <t>F 値</t>
  </si>
  <si>
    <t>有意確率</t>
  </si>
  <si>
    <t>F(5%)境界値</t>
  </si>
  <si>
    <t>誤差</t>
  </si>
  <si>
    <t>修正総和</t>
  </si>
  <si>
    <t>SPSS</t>
  </si>
  <si>
    <t>純度の標準不確かさ　uP =</t>
  </si>
  <si>
    <t>％</t>
  </si>
  <si>
    <t>総平均 μと分散</t>
  </si>
  <si>
    <t>μ = x_ =</t>
  </si>
  <si>
    <t>σe2 = MSe =</t>
  </si>
  <si>
    <t>±</t>
  </si>
  <si>
    <t>包含係数 k=2 から求めた拡張不確かさ U = ku = 2u =</t>
  </si>
  <si>
    <t>Sheet1の１ページ目では、統計データのタイトル、解析用数値、および測定データの入力を行います。</t>
  </si>
  <si>
    <t>・タイトルや解析用数値は「空色のセル」に入力して下さい。</t>
  </si>
  <si>
    <t>Sheet1の２ページ目には、最終の計算結果（ANOVA表と不確かさに関する統計量）が出力されます。</t>
  </si>
  <si>
    <t>Sheet2には統計処理の途中経過や詳しい統計量が出力されます。</t>
  </si>
  <si>
    <t>このエクセル表は「一段枝分かれ分析」を行うための入力シートと計算結果シートからなっています。</t>
  </si>
  <si>
    <t>純度の標準不確かさ uP</t>
  </si>
  <si>
    <t>溶媒中の不純物の検出限界 limit</t>
  </si>
  <si>
    <t>変動要因　　　　と要因数</t>
  </si>
  <si>
    <t xml:space="preserve">j : n = </t>
  </si>
  <si>
    <t>値付けの　　要因数</t>
  </si>
  <si>
    <t xml:space="preserve">i : p' = </t>
  </si>
  <si>
    <t xml:space="preserve">j : n' = </t>
  </si>
  <si>
    <t>mg/L</t>
  </si>
  <si>
    <t>%relative</t>
  </si>
  <si>
    <t>i</t>
  </si>
  <si>
    <t>2,4-ジクロロフェノール：ヘキサン溶媒・1000ppm　(生データ：24DCP調製不、解析用に並べ替えたデータ：A24DCP-h-h調製不）</t>
  </si>
  <si>
    <t>調製間変動</t>
  </si>
  <si>
    <t>測定誤差変動</t>
  </si>
  <si>
    <t>xij-x_</t>
  </si>
  <si>
    <t>(xij-x_)2</t>
  </si>
  <si>
    <t>xij-xi_</t>
  </si>
  <si>
    <t>xi_-x_</t>
  </si>
  <si>
    <t>=Σxi_</t>
  </si>
  <si>
    <t>xj_ = Σ(j=1～n)xij/n</t>
  </si>
  <si>
    <r>
      <t>x1_ = Σ</t>
    </r>
    <r>
      <rPr>
        <i/>
        <sz val="11"/>
        <rFont val="ＭＳ Ｐゴシック"/>
        <family val="3"/>
      </rPr>
      <t>(j=1～n)</t>
    </r>
    <r>
      <rPr>
        <sz val="11"/>
        <rFont val="ＭＳ Ｐゴシック"/>
        <family val="0"/>
      </rPr>
      <t xml:space="preserve">x1j/n = </t>
    </r>
  </si>
  <si>
    <t>=ΣΣ(xij-x_)2</t>
  </si>
  <si>
    <t>(xij-xi_)2</t>
  </si>
  <si>
    <t>=ΣΣ(xij-xi_)2</t>
  </si>
  <si>
    <t>(xi_-x_)2</t>
  </si>
  <si>
    <t>=Σ(xi_-x_)2</t>
  </si>
  <si>
    <r>
      <t>SSp = nΣ</t>
    </r>
    <r>
      <rPr>
        <i/>
        <sz val="11"/>
        <color indexed="10"/>
        <rFont val="ＭＳ Ｐゴシック"/>
        <family val="3"/>
      </rPr>
      <t>(i=1～p)</t>
    </r>
    <r>
      <rPr>
        <sz val="11"/>
        <color indexed="10"/>
        <rFont val="ＭＳ Ｐゴシック"/>
        <family val="3"/>
      </rPr>
      <t>(xi_-x_)2</t>
    </r>
    <r>
      <rPr>
        <sz val="11"/>
        <rFont val="ＭＳ Ｐゴシック"/>
        <family val="0"/>
      </rPr>
      <t xml:space="preserve"> = </t>
    </r>
  </si>
  <si>
    <r>
      <t>SSe = Σ</t>
    </r>
    <r>
      <rPr>
        <i/>
        <sz val="11"/>
        <color indexed="10"/>
        <rFont val="ＭＳ Ｐゴシック"/>
        <family val="3"/>
      </rPr>
      <t>(i=1～p)Σ(j=1～n)</t>
    </r>
    <r>
      <rPr>
        <sz val="11"/>
        <color indexed="10"/>
        <rFont val="ＭＳ Ｐゴシック"/>
        <family val="3"/>
      </rPr>
      <t>(xij-xi_)2</t>
    </r>
    <r>
      <rPr>
        <sz val="11"/>
        <rFont val="ＭＳ Ｐゴシック"/>
        <family val="0"/>
      </rPr>
      <t xml:space="preserve"> = </t>
    </r>
  </si>
  <si>
    <t xml:space="preserve">ft = pn-1 = </t>
  </si>
  <si>
    <t>MSe = SSe/fe =</t>
  </si>
  <si>
    <t>fe = p(n-1) =</t>
  </si>
  <si>
    <t xml:space="preserve">SSt = SSp+SSe =  </t>
  </si>
  <si>
    <t>溶媒の標準不確かさ　uS = [(limit/1000-0)/√12]/呼称濃度*100＝</t>
  </si>
  <si>
    <t>p(n-1)</t>
  </si>
  <si>
    <t>σe2+nσp2</t>
  </si>
  <si>
    <t>PREP</t>
  </si>
  <si>
    <t>固定因子: PREP</t>
  </si>
  <si>
    <t>総変動</t>
  </si>
  <si>
    <t>溶媒の標準不確かさ　uS = [(limit/1000-0)/√12]/呼称濃度*100 =</t>
  </si>
  <si>
    <r>
      <t>σ</t>
    </r>
    <r>
      <rPr>
        <sz val="11"/>
        <rFont val="ＭＳ Ｐゴシック"/>
        <family val="0"/>
      </rPr>
      <t>p</t>
    </r>
    <r>
      <rPr>
        <sz val="11"/>
        <rFont val="ＭＳ Ｐゴシック"/>
        <family val="0"/>
      </rPr>
      <t>2 = (MS</t>
    </r>
    <r>
      <rPr>
        <sz val="11"/>
        <rFont val="ＭＳ Ｐゴシック"/>
        <family val="0"/>
      </rPr>
      <t>p</t>
    </r>
    <r>
      <rPr>
        <sz val="11"/>
        <rFont val="ＭＳ Ｐゴシック"/>
        <family val="0"/>
      </rPr>
      <t>-MS</t>
    </r>
    <r>
      <rPr>
        <sz val="11"/>
        <rFont val="ＭＳ Ｐゴシック"/>
        <family val="0"/>
      </rPr>
      <t>e</t>
    </r>
    <r>
      <rPr>
        <sz val="11"/>
        <rFont val="ＭＳ Ｐゴシック"/>
        <family val="0"/>
      </rPr>
      <t>)/n =</t>
    </r>
  </si>
  <si>
    <t xml:space="preserve">合意値 x_ の分散 V(x_) = MSp/pn = </t>
  </si>
  <si>
    <t>・測定データはマトリックス表の「色の付いたセル」（i = 1～6, j = 1～10）内に入力して下さい。</t>
  </si>
  <si>
    <t>jcss校正時の値付けの合成標準不確かさ u = √(up2+ue2+uP2+uS2) ＝</t>
  </si>
  <si>
    <t>また、下のピンク色のボタンを押せば、有意確率が0.05以下のセルおよび分散が負のセルの色が変わります。</t>
  </si>
  <si>
    <t>i</t>
  </si>
  <si>
    <t>Fp = MSp/MSe =</t>
  </si>
  <si>
    <t xml:space="preserve">FINV(0.05,fp,fe) = </t>
  </si>
  <si>
    <r>
      <t>FDIST</t>
    </r>
    <r>
      <rPr>
        <sz val="11"/>
        <rFont val="ＭＳ Ｐゴシック"/>
        <family val="0"/>
      </rPr>
      <t xml:space="preserve">(Fp,fp,fe) </t>
    </r>
    <r>
      <rPr>
        <sz val="11"/>
        <rFont val="ＭＳ Ｐゴシック"/>
        <family val="0"/>
      </rPr>
      <t>＝</t>
    </r>
  </si>
  <si>
    <t>ファイル名：一段分岐 v.1.5 （一段枝分かれ分析自動計算システム） by Takao Nakagawa &amp; Shigemitsu Shin &lt;2002/04/01&gt;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</si>
</sst>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"/>
    <numFmt numFmtId="180" formatCode="#,##0.000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i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1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6" borderId="0" xfId="0" applyFill="1" applyAlignment="1">
      <alignment/>
    </xf>
    <xf numFmtId="176" fontId="0" fillId="6" borderId="0" xfId="0" applyNumberFormat="1" applyFill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8" xfId="0" applyFont="1" applyFill="1" applyBorder="1" applyAlignment="1" applyProtection="1">
      <alignment horizontal="center"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177" fontId="6" fillId="4" borderId="11" xfId="0" applyNumberFormat="1" applyFont="1" applyFill="1" applyBorder="1" applyAlignment="1" applyProtection="1">
      <alignment horizontal="left" vertical="top"/>
      <protection hidden="1"/>
    </xf>
    <xf numFmtId="0" fontId="6" fillId="4" borderId="12" xfId="0" applyFont="1" applyFill="1" applyBorder="1" applyAlignment="1" applyProtection="1">
      <alignment horizontal="distributed" vertical="top"/>
      <protection hidden="1"/>
    </xf>
    <xf numFmtId="0" fontId="6" fillId="4" borderId="0" xfId="0" applyFont="1" applyFill="1" applyBorder="1" applyAlignment="1" applyProtection="1">
      <alignment vertical="top"/>
      <protection hidden="1"/>
    </xf>
    <xf numFmtId="0" fontId="6" fillId="4" borderId="12" xfId="0" applyFont="1" applyFill="1" applyBorder="1" applyAlignment="1" applyProtection="1">
      <alignment/>
      <protection hidden="1"/>
    </xf>
    <xf numFmtId="0" fontId="6" fillId="4" borderId="13" xfId="0" applyFont="1" applyFill="1" applyBorder="1" applyAlignment="1" applyProtection="1">
      <alignment/>
      <protection hidden="1"/>
    </xf>
    <xf numFmtId="0" fontId="6" fillId="4" borderId="14" xfId="0" applyFont="1" applyFill="1" applyBorder="1" applyAlignment="1" applyProtection="1">
      <alignment horizontal="left" vertical="top"/>
      <protection hidden="1"/>
    </xf>
    <xf numFmtId="0" fontId="6" fillId="4" borderId="8" xfId="0" applyFont="1" applyFill="1" applyBorder="1" applyAlignment="1" applyProtection="1">
      <alignment horizontal="distributed" vertical="top"/>
      <protection hidden="1"/>
    </xf>
    <xf numFmtId="0" fontId="6" fillId="4" borderId="9" xfId="0" applyFont="1" applyFill="1" applyBorder="1" applyAlignment="1" applyProtection="1">
      <alignment vertical="top"/>
      <protection hidden="1"/>
    </xf>
    <xf numFmtId="0" fontId="0" fillId="4" borderId="8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/>
      <protection locked="0"/>
    </xf>
    <xf numFmtId="0" fontId="6" fillId="4" borderId="11" xfId="0" applyFont="1" applyFill="1" applyBorder="1" applyAlignment="1">
      <alignment/>
    </xf>
    <xf numFmtId="0" fontId="0" fillId="4" borderId="16" xfId="0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78" fontId="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0" fillId="7" borderId="0" xfId="0" applyFill="1" applyAlignment="1">
      <alignment/>
    </xf>
    <xf numFmtId="0" fontId="6" fillId="4" borderId="0" xfId="0" applyFont="1" applyFill="1" applyBorder="1" applyAlignment="1">
      <alignment horizontal="right"/>
    </xf>
    <xf numFmtId="0" fontId="6" fillId="4" borderId="16" xfId="0" applyFont="1" applyFill="1" applyBorder="1" applyAlignment="1">
      <alignment/>
    </xf>
    <xf numFmtId="0" fontId="0" fillId="4" borderId="20" xfId="0" applyFill="1" applyBorder="1" applyAlignment="1">
      <alignment/>
    </xf>
    <xf numFmtId="176" fontId="6" fillId="4" borderId="19" xfId="0" applyNumberFormat="1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0" fillId="2" borderId="22" xfId="0" applyFill="1" applyBorder="1" applyAlignment="1" applyProtection="1">
      <alignment horizontal="center"/>
      <protection/>
    </xf>
    <xf numFmtId="0" fontId="0" fillId="8" borderId="23" xfId="0" applyFill="1" applyBorder="1" applyAlignment="1" applyProtection="1">
      <alignment/>
      <protection locked="0"/>
    </xf>
    <xf numFmtId="0" fontId="0" fillId="8" borderId="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7" borderId="19" xfId="0" applyFill="1" applyBorder="1" applyAlignment="1">
      <alignment/>
    </xf>
    <xf numFmtId="0" fontId="0" fillId="0" borderId="25" xfId="0" applyBorder="1" applyAlignment="1">
      <alignment/>
    </xf>
    <xf numFmtId="0" fontId="0" fillId="7" borderId="16" xfId="0" applyFill="1" applyBorder="1" applyAlignment="1">
      <alignment/>
    </xf>
    <xf numFmtId="0" fontId="6" fillId="5" borderId="26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0" fillId="8" borderId="27" xfId="0" applyFill="1" applyBorder="1" applyAlignment="1" applyProtection="1">
      <alignment horizontal="left"/>
      <protection locked="0"/>
    </xf>
    <xf numFmtId="0" fontId="0" fillId="8" borderId="28" xfId="0" applyFill="1" applyBorder="1" applyAlignment="1" applyProtection="1">
      <alignment horizontal="left"/>
      <protection locked="0"/>
    </xf>
    <xf numFmtId="0" fontId="0" fillId="5" borderId="26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9" borderId="29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6" xfId="0" applyFill="1" applyBorder="1" applyAlignment="1">
      <alignment/>
    </xf>
    <xf numFmtId="180" fontId="0" fillId="6" borderId="9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178" fontId="0" fillId="6" borderId="33" xfId="0" applyNumberForma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10" xfId="0" applyFill="1" applyBorder="1" applyAlignment="1">
      <alignment/>
    </xf>
    <xf numFmtId="178" fontId="0" fillId="6" borderId="13" xfId="0" applyNumberFormat="1" applyFill="1" applyBorder="1" applyAlignment="1">
      <alignment/>
    </xf>
    <xf numFmtId="0" fontId="0" fillId="8" borderId="28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5" borderId="34" xfId="0" applyFill="1" applyBorder="1" applyAlignment="1">
      <alignment/>
    </xf>
    <xf numFmtId="0" fontId="0" fillId="5" borderId="9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6" fillId="6" borderId="26" xfId="0" applyFont="1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0" xfId="0" applyFill="1" applyBorder="1" applyAlignment="1">
      <alignment/>
    </xf>
    <xf numFmtId="0" fontId="6" fillId="6" borderId="9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34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8" borderId="48" xfId="0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2" borderId="51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 applyProtection="1">
      <alignment horizontal="center"/>
      <protection/>
    </xf>
    <xf numFmtId="0" fontId="0" fillId="8" borderId="33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10" fillId="0" borderId="0" xfId="0" applyFont="1" applyAlignment="1" quotePrefix="1">
      <alignment/>
    </xf>
    <xf numFmtId="178" fontId="0" fillId="6" borderId="31" xfId="0" applyNumberFormat="1" applyFill="1" applyBorder="1" applyAlignment="1">
      <alignment/>
    </xf>
    <xf numFmtId="178" fontId="0" fillId="6" borderId="10" xfId="0" applyNumberForma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4" borderId="55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53" xfId="0" applyFill="1" applyBorder="1" applyAlignment="1" applyProtection="1">
      <alignment/>
      <protection locked="0"/>
    </xf>
    <xf numFmtId="0" fontId="0" fillId="6" borderId="54" xfId="0" applyFill="1" applyBorder="1" applyAlignment="1" applyProtection="1">
      <alignment/>
      <protection locked="0"/>
    </xf>
    <xf numFmtId="0" fontId="0" fillId="11" borderId="33" xfId="0" applyFill="1" applyBorder="1" applyAlignment="1" applyProtection="1">
      <alignment/>
      <protection locked="0"/>
    </xf>
    <xf numFmtId="0" fontId="0" fillId="11" borderId="53" xfId="0" applyFill="1" applyBorder="1" applyAlignment="1" applyProtection="1">
      <alignment/>
      <protection locked="0"/>
    </xf>
    <xf numFmtId="0" fontId="0" fillId="11" borderId="54" xfId="0" applyFill="1" applyBorder="1" applyAlignment="1" applyProtection="1">
      <alignment/>
      <protection locked="0"/>
    </xf>
    <xf numFmtId="0" fontId="0" fillId="10" borderId="56" xfId="0" applyFill="1" applyBorder="1" applyAlignment="1" applyProtection="1">
      <alignment/>
      <protection locked="0"/>
    </xf>
    <xf numFmtId="0" fontId="0" fillId="10" borderId="57" xfId="0" applyFill="1" applyBorder="1" applyAlignment="1" applyProtection="1">
      <alignment/>
      <protection locked="0"/>
    </xf>
    <xf numFmtId="0" fontId="0" fillId="10" borderId="58" xfId="0" applyFill="1" applyBorder="1" applyAlignment="1" applyProtection="1">
      <alignment/>
      <protection locked="0"/>
    </xf>
    <xf numFmtId="0" fontId="0" fillId="12" borderId="48" xfId="0" applyFill="1" applyBorder="1" applyAlignment="1" applyProtection="1">
      <alignment horizontal="center"/>
      <protection/>
    </xf>
    <xf numFmtId="0" fontId="0" fillId="12" borderId="59" xfId="0" applyFill="1" applyBorder="1" applyAlignment="1" applyProtection="1">
      <alignment horizontal="center"/>
      <protection/>
    </xf>
    <xf numFmtId="0" fontId="0" fillId="12" borderId="59" xfId="0" applyFill="1" applyBorder="1" applyAlignment="1" applyProtection="1">
      <alignment/>
      <protection locked="0"/>
    </xf>
    <xf numFmtId="0" fontId="0" fillId="12" borderId="43" xfId="0" applyFill="1" applyBorder="1" applyAlignment="1" applyProtection="1">
      <alignment/>
      <protection locked="0"/>
    </xf>
    <xf numFmtId="0" fontId="6" fillId="4" borderId="8" xfId="0" applyFont="1" applyFill="1" applyBorder="1" applyAlignment="1" applyProtection="1">
      <alignment horizontal="left"/>
      <protection hidden="1"/>
    </xf>
    <xf numFmtId="0" fontId="6" fillId="4" borderId="12" xfId="0" applyFont="1" applyFill="1" applyBorder="1" applyAlignment="1" applyProtection="1">
      <alignment horizontal="left" vertical="top"/>
      <protection hidden="1"/>
    </xf>
    <xf numFmtId="0" fontId="6" fillId="4" borderId="8" xfId="0" applyFont="1" applyFill="1" applyBorder="1" applyAlignment="1" applyProtection="1">
      <alignment horizontal="left" vertical="top"/>
      <protection hidden="1"/>
    </xf>
    <xf numFmtId="0" fontId="0" fillId="6" borderId="60" xfId="0" applyFill="1" applyBorder="1" applyAlignment="1">
      <alignment/>
    </xf>
    <xf numFmtId="0" fontId="0" fillId="0" borderId="47" xfId="0" applyBorder="1" applyAlignment="1" applyProtection="1">
      <alignment/>
      <protection/>
    </xf>
    <xf numFmtId="0" fontId="0" fillId="0" borderId="61" xfId="0" applyFill="1" applyBorder="1" applyAlignment="1" applyProtection="1">
      <alignment horizontal="left" vertic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/>
    </xf>
    <xf numFmtId="0" fontId="0" fillId="4" borderId="58" xfId="0" applyFill="1" applyBorder="1" applyAlignment="1" applyProtection="1">
      <alignment horizontal="center"/>
      <protection/>
    </xf>
    <xf numFmtId="0" fontId="0" fillId="4" borderId="6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8" borderId="67" xfId="0" applyFill="1" applyBorder="1" applyAlignment="1" applyProtection="1">
      <alignment horizontal="left"/>
      <protection locked="0"/>
    </xf>
    <xf numFmtId="0" fontId="0" fillId="8" borderId="68" xfId="0" applyFill="1" applyBorder="1" applyAlignment="1" applyProtection="1">
      <alignment horizontal="left"/>
      <protection locked="0"/>
    </xf>
    <xf numFmtId="0" fontId="0" fillId="8" borderId="69" xfId="0" applyFill="1" applyBorder="1" applyAlignment="1" applyProtection="1">
      <alignment horizontal="left"/>
      <protection locked="0"/>
    </xf>
    <xf numFmtId="0" fontId="0" fillId="8" borderId="70" xfId="0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847725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31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847725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31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847725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31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47725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9525</xdr:rowOff>
    </xdr:from>
    <xdr:to>
      <xdr:col>7</xdr:col>
      <xdr:colOff>0</xdr:colOff>
      <xdr:row>10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38300"/>
          <a:ext cx="411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943475" y="36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943475" y="36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4943475" y="36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943475" y="36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Q33"/>
  <sheetViews>
    <sheetView tabSelected="1" workbookViewId="0" topLeftCell="A1">
      <selection activeCell="H10" sqref="H10"/>
    </sheetView>
  </sheetViews>
  <sheetFormatPr defaultColWidth="9.00390625" defaultRowHeight="13.5"/>
  <cols>
    <col min="18" max="18" width="15.125" style="0" customWidth="1"/>
    <col min="19" max="19" width="16.125" style="25" customWidth="1"/>
    <col min="20" max="20" width="18.75390625" style="0" customWidth="1"/>
    <col min="21" max="21" width="13.375" style="0" customWidth="1"/>
    <col min="22" max="22" width="22.25390625" style="0" customWidth="1"/>
    <col min="23" max="23" width="23.625" style="0" customWidth="1"/>
    <col min="24" max="24" width="24.75390625" style="0" customWidth="1"/>
  </cols>
  <sheetData>
    <row r="1" spans="1:24" ht="14.25" thickBot="1">
      <c r="A1" s="86" t="s">
        <v>117</v>
      </c>
      <c r="B1" s="88"/>
      <c r="C1" s="88"/>
      <c r="D1" s="88"/>
      <c r="E1" s="88"/>
      <c r="F1" s="171"/>
      <c r="G1" s="88"/>
      <c r="H1" s="88"/>
      <c r="I1" s="88"/>
      <c r="J1" s="88"/>
      <c r="K1" s="123"/>
      <c r="R1" s="77" t="str">
        <f>A13</f>
        <v>2,4-ジクロロフェノール：ヘキサン溶媒・1000ppm　(生データ：24DCP調製不、解析用に並べ替えたデータ：A24DCP-h-h調製不）</v>
      </c>
      <c r="S1" s="78"/>
      <c r="T1" s="78"/>
      <c r="U1" s="78"/>
      <c r="V1" s="78"/>
      <c r="W1" s="78"/>
      <c r="X1" s="102"/>
    </row>
    <row r="2" spans="1:10" ht="14.25" thickBot="1">
      <c r="A2" s="114" t="s">
        <v>69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23" ht="14.25" thickBot="1">
      <c r="A3" s="114" t="s">
        <v>65</v>
      </c>
      <c r="B3" s="115"/>
      <c r="C3" s="115"/>
      <c r="D3" s="115"/>
      <c r="E3" s="115"/>
      <c r="F3" s="115"/>
      <c r="G3" s="115"/>
      <c r="H3" s="115"/>
      <c r="I3" s="115"/>
      <c r="J3" s="116"/>
      <c r="R3" s="113" t="str">
        <f>A1</f>
        <v>ファイル名：一段分岐 v.1.5 （一段枝分かれ分析自動計算システム） by Takao Nakagawa &amp; Shigemitsu Shin &lt;2002/04/01&gt;</v>
      </c>
      <c r="S3" s="120"/>
      <c r="T3" s="121"/>
      <c r="U3" s="97"/>
      <c r="V3" s="88"/>
      <c r="W3" s="123"/>
    </row>
    <row r="4" spans="1:10" ht="14.25" thickBot="1">
      <c r="A4" s="114" t="s">
        <v>66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8" ht="14.25" thickBot="1">
      <c r="A5" s="114" t="s">
        <v>110</v>
      </c>
      <c r="B5" s="115"/>
      <c r="C5" s="115"/>
      <c r="D5" s="115"/>
      <c r="E5" s="115"/>
      <c r="F5" s="115"/>
      <c r="G5" s="115"/>
      <c r="H5" s="115"/>
      <c r="I5" s="115"/>
      <c r="J5" s="116"/>
      <c r="R5" s="53" t="s">
        <v>23</v>
      </c>
    </row>
    <row r="6" spans="1:24" ht="14.25" thickBot="1">
      <c r="A6" s="114" t="s">
        <v>67</v>
      </c>
      <c r="B6" s="115"/>
      <c r="C6" s="115"/>
      <c r="D6" s="115"/>
      <c r="E6" s="115"/>
      <c r="F6" s="115"/>
      <c r="G6" s="115"/>
      <c r="H6" s="115"/>
      <c r="I6" s="115"/>
      <c r="J6" s="116"/>
      <c r="R6" s="52" t="s">
        <v>0</v>
      </c>
      <c r="S6" s="40" t="s">
        <v>9</v>
      </c>
      <c r="T6" s="39" t="s">
        <v>10</v>
      </c>
      <c r="U6" s="40" t="s">
        <v>12</v>
      </c>
      <c r="V6" s="39" t="s">
        <v>17</v>
      </c>
      <c r="W6" s="41" t="s">
        <v>18</v>
      </c>
      <c r="X6" s="41" t="s">
        <v>24</v>
      </c>
    </row>
    <row r="7" spans="1:24" ht="13.5">
      <c r="A7" s="114" t="s">
        <v>68</v>
      </c>
      <c r="B7" s="115"/>
      <c r="C7" s="115"/>
      <c r="D7" s="115"/>
      <c r="E7" s="115"/>
      <c r="F7" s="115"/>
      <c r="G7" s="115"/>
      <c r="H7" s="115"/>
      <c r="I7" s="115"/>
      <c r="J7" s="116"/>
      <c r="R7" s="169" t="str">
        <f>H15</f>
        <v>調製間変動</v>
      </c>
      <c r="S7" s="42" t="str">
        <f>"SSp＝"&amp;FIXED(Sheet2!K65,4,TRUE)&amp;""</f>
        <v>SSp＝11.4660</v>
      </c>
      <c r="T7" s="43" t="str">
        <f>"fp = p-1=　   　"&amp;FIXED(Sheet2!E70,0,TRUE)&amp;""</f>
        <v>fp = p-1=　   　3</v>
      </c>
      <c r="U7" s="44" t="str">
        <f>"MSp＝"&amp;FIXED(Sheet2!D74,4,TRUE)&amp;""</f>
        <v>MSp＝3.8220</v>
      </c>
      <c r="V7" s="45" t="str">
        <f>"Fp = MSp/MSq＝"&amp;FIXED(Sheet2!D78,4,TRUE)&amp;""</f>
        <v>Fp = MSp/MSq＝2.4224</v>
      </c>
      <c r="W7" s="46" t="str">
        <f>"FDIST(Fp,fp,fq) = "&amp;FIXED(FDIST(Sheet2!D78,Sheet2!E70,Sheet2!E71),4)</f>
        <v>FDIST(Fp,fp,fq) = 0.1037</v>
      </c>
      <c r="X7" s="46" t="str">
        <f>"FINV(0.05,fp/fq) = "&amp;FIXED(FINV(0.05,Sheet2!E70,Sheet2!E71),4)</f>
        <v>FINV(0.05,fp/fq) = 3.2389</v>
      </c>
    </row>
    <row r="8" spans="1:24" ht="14.25" thickBot="1">
      <c r="A8" s="117" t="s">
        <v>112</v>
      </c>
      <c r="B8" s="118"/>
      <c r="C8" s="118"/>
      <c r="D8" s="118"/>
      <c r="E8" s="118"/>
      <c r="F8" s="118"/>
      <c r="G8" s="118"/>
      <c r="H8" s="118"/>
      <c r="I8" s="118"/>
      <c r="J8" s="119"/>
      <c r="R8" s="169" t="str">
        <f>H16</f>
        <v>測定誤差変動</v>
      </c>
      <c r="S8" s="47" t="str">
        <f>"SSe＝"&amp;FIXED(Sheet2!K66,4,TRUE)&amp;""</f>
        <v>SSe＝25.2440</v>
      </c>
      <c r="T8" s="43" t="str">
        <f>"fe = p(n-1) =   "&amp;FIXED(Sheet2!E71,0,TRUE)&amp;""</f>
        <v>fe = p(n-1) =   16</v>
      </c>
      <c r="U8" s="44" t="str">
        <f>"MSe＝"&amp;FIXED(Sheet2!D75,4,TRUE)&amp;""</f>
        <v>MSe＝1.5778</v>
      </c>
      <c r="V8" s="45"/>
      <c r="W8" s="46"/>
      <c r="X8" s="46"/>
    </row>
    <row r="9" spans="18:24" ht="15" thickBot="1" thickTop="1">
      <c r="R9" s="170" t="s">
        <v>106</v>
      </c>
      <c r="S9" s="168" t="str">
        <f>"SSt＝"&amp;FIXED(Sheet2!K68,4,TRUE)&amp;""</f>
        <v>SSt＝36.7100</v>
      </c>
      <c r="T9" s="48" t="str">
        <f>"ft = pn-1 = "&amp;FIXED(Sheet2!E72,0,TRUE)&amp;""</f>
        <v>ft = pn-1 = 19</v>
      </c>
      <c r="U9" s="49" t="str">
        <f>"MSt＝"&amp;FIXED(Sheet2!D76,4,TRUE)&amp;""</f>
        <v>MSt＝1.9321</v>
      </c>
      <c r="V9" s="50"/>
      <c r="W9" s="51"/>
      <c r="X9" s="51"/>
    </row>
    <row r="10" spans="18:24" ht="13.5">
      <c r="R10" s="8"/>
      <c r="S10" s="26"/>
      <c r="T10" s="8"/>
      <c r="U10" s="8"/>
      <c r="V10" s="8"/>
      <c r="W10" s="8"/>
      <c r="X10" s="8"/>
    </row>
    <row r="11" spans="18:24" ht="14.25" thickBot="1">
      <c r="R11" s="8"/>
      <c r="S11" s="26"/>
      <c r="T11" s="8"/>
      <c r="U11" s="8"/>
      <c r="V11" s="8"/>
      <c r="W11" s="8"/>
      <c r="X11" s="8"/>
    </row>
    <row r="12" spans="18:24" ht="14.25" thickBot="1">
      <c r="R12" s="54" t="s">
        <v>25</v>
      </c>
      <c r="S12" s="55"/>
      <c r="T12" s="55"/>
      <c r="U12" s="55"/>
      <c r="V12" s="55"/>
      <c r="W12" s="66"/>
      <c r="X12" s="67"/>
    </row>
    <row r="13" spans="1:24" ht="15" thickBot="1" thickTop="1">
      <c r="A13" s="79" t="s">
        <v>80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00"/>
      <c r="M13" s="101"/>
      <c r="R13" s="56" t="str">
        <f>H15&amp;"  Vr = σr2 = (MSr-MSe)/n ＝"</f>
        <v>調製間変動  Vr = σr2 = (MSr-MSe)/n ＝</v>
      </c>
      <c r="S13" s="57"/>
      <c r="T13" s="57"/>
      <c r="U13" s="57"/>
      <c r="V13" s="58">
        <f>Sheet2!F82</f>
        <v>0.44885000000003605</v>
      </c>
      <c r="W13" s="59"/>
      <c r="X13" s="60"/>
    </row>
    <row r="14" spans="1:24" ht="15" thickBot="1" thickTop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1"/>
      <c r="M14" s="21"/>
      <c r="R14" s="56" t="str">
        <f>H16&amp;"  Ve = σe2 = MSe ＝"</f>
        <v>測定誤差変動  Ve = σe2 = MSe ＝</v>
      </c>
      <c r="S14" s="57"/>
      <c r="T14" s="57"/>
      <c r="U14" s="57"/>
      <c r="V14" s="58">
        <f>Sheet2!F83</f>
        <v>1.57775</v>
      </c>
      <c r="W14" s="59"/>
      <c r="X14" s="60"/>
    </row>
    <row r="15" spans="1:24" ht="14.25" thickTop="1">
      <c r="A15" s="181" t="s">
        <v>28</v>
      </c>
      <c r="B15" s="182"/>
      <c r="C15" s="183"/>
      <c r="D15" s="71">
        <v>1000</v>
      </c>
      <c r="E15" s="173" t="s">
        <v>77</v>
      </c>
      <c r="F15" s="132"/>
      <c r="G15" s="187" t="s">
        <v>72</v>
      </c>
      <c r="H15" s="189" t="s">
        <v>81</v>
      </c>
      <c r="I15" s="190"/>
      <c r="J15" s="133" t="s">
        <v>30</v>
      </c>
      <c r="K15" s="135">
        <v>4</v>
      </c>
      <c r="L15" s="124"/>
      <c r="M15" s="179" t="s">
        <v>74</v>
      </c>
      <c r="N15" s="137" t="s">
        <v>75</v>
      </c>
      <c r="O15" s="139">
        <v>1</v>
      </c>
      <c r="R15" s="56"/>
      <c r="S15" s="57"/>
      <c r="T15" s="57"/>
      <c r="U15" s="57"/>
      <c r="V15" s="58"/>
      <c r="W15" s="59"/>
      <c r="X15" s="60"/>
    </row>
    <row r="16" spans="1:24" ht="14.25" customHeight="1" thickBot="1">
      <c r="A16" s="184" t="s">
        <v>70</v>
      </c>
      <c r="B16" s="185"/>
      <c r="C16" s="186"/>
      <c r="D16" s="72">
        <v>0.072</v>
      </c>
      <c r="E16" s="130" t="s">
        <v>78</v>
      </c>
      <c r="F16" s="132"/>
      <c r="G16" s="188"/>
      <c r="H16" s="191" t="s">
        <v>82</v>
      </c>
      <c r="I16" s="192"/>
      <c r="J16" s="134" t="s">
        <v>73</v>
      </c>
      <c r="K16" s="136">
        <v>5</v>
      </c>
      <c r="L16" s="124"/>
      <c r="M16" s="180"/>
      <c r="N16" s="138" t="s">
        <v>76</v>
      </c>
      <c r="O16" s="140">
        <v>3</v>
      </c>
      <c r="R16" s="56" t="str">
        <f>Sheet2!A85</f>
        <v>jcss校正時の値付けの標準不確かさ（ただし、p' = 1, n' = 3 とする）</v>
      </c>
      <c r="S16" s="57"/>
      <c r="T16" s="57"/>
      <c r="U16" s="57"/>
      <c r="V16" s="58"/>
      <c r="W16" s="65" t="s">
        <v>31</v>
      </c>
      <c r="X16" s="60"/>
    </row>
    <row r="17" spans="1:25" ht="15" thickBot="1" thickTop="1">
      <c r="A17" s="128" t="s">
        <v>71</v>
      </c>
      <c r="B17" s="172"/>
      <c r="C17" s="129"/>
      <c r="D17" s="73">
        <v>100</v>
      </c>
      <c r="E17" s="131" t="s">
        <v>77</v>
      </c>
      <c r="F17" s="132"/>
      <c r="G17" s="37"/>
      <c r="H17" s="124"/>
      <c r="I17" s="28"/>
      <c r="J17" s="37"/>
      <c r="K17" s="127"/>
      <c r="L17" s="124"/>
      <c r="M17" s="28"/>
      <c r="R17" s="56" t="str">
        <f>H15&amp;"の標準不確かさ  up = √(σp2/p)  ="</f>
        <v>調製間変動の標準不確かさ  up = √(σp2/p)  =</v>
      </c>
      <c r="S17" s="57"/>
      <c r="T17" s="57"/>
      <c r="U17" s="57"/>
      <c r="V17" s="58">
        <f>Sheet2!F86</f>
        <v>0.6699626855281091</v>
      </c>
      <c r="W17" s="58">
        <f>Sheet2!I86</f>
        <v>0.0669962685528109</v>
      </c>
      <c r="X17" s="61" t="s">
        <v>33</v>
      </c>
      <c r="Y17" s="6"/>
    </row>
    <row r="18" spans="1:25" ht="14.25" thickTop="1">
      <c r="A18" s="8"/>
      <c r="B18" s="8"/>
      <c r="C18" s="8"/>
      <c r="D18" s="6"/>
      <c r="E18" s="126"/>
      <c r="F18" s="132"/>
      <c r="G18" s="37"/>
      <c r="H18" s="124"/>
      <c r="I18" s="28"/>
      <c r="J18" s="38"/>
      <c r="K18" s="125"/>
      <c r="L18" s="124"/>
      <c r="M18" s="28"/>
      <c r="R18" s="56" t="str">
        <f>H16&amp;"の標準不確かさ  ue = √(σe2/np) ="</f>
        <v>測定誤差変動の標準不確かさ  ue = √(σe2/np) =</v>
      </c>
      <c r="S18" s="57"/>
      <c r="T18" s="57"/>
      <c r="U18" s="57"/>
      <c r="V18" s="58">
        <f>Sheet2!F87</f>
        <v>0.7252011215288258</v>
      </c>
      <c r="W18" s="58">
        <f>Sheet2!I87</f>
        <v>0.07252011215288258</v>
      </c>
      <c r="X18" s="61" t="s">
        <v>33</v>
      </c>
      <c r="Y18" s="6"/>
    </row>
    <row r="19" spans="7:30" ht="14.25" thickBot="1">
      <c r="G19" s="21"/>
      <c r="H19" s="21"/>
      <c r="I19" s="142"/>
      <c r="J19" s="142"/>
      <c r="K19" s="21"/>
      <c r="L19" s="21"/>
      <c r="M19" s="21"/>
      <c r="N19" s="21"/>
      <c r="O19" s="21"/>
      <c r="P19" s="21"/>
      <c r="R19" s="56"/>
      <c r="S19" s="57"/>
      <c r="T19" s="57"/>
      <c r="U19" s="57"/>
      <c r="V19" s="58"/>
      <c r="W19" s="58"/>
      <c r="X19" s="61"/>
      <c r="Y19" s="6"/>
      <c r="Z19" s="20"/>
      <c r="AA19" s="20"/>
      <c r="AB19" s="20"/>
      <c r="AC19" s="20"/>
      <c r="AD19" s="20"/>
    </row>
    <row r="20" spans="1:30" ht="15" thickBot="1" thickTop="1">
      <c r="A20" s="35" t="s">
        <v>79</v>
      </c>
      <c r="B20" s="2">
        <v>1</v>
      </c>
      <c r="C20" s="1">
        <v>2</v>
      </c>
      <c r="D20" s="1">
        <v>3</v>
      </c>
      <c r="E20" s="1">
        <v>4</v>
      </c>
      <c r="F20" s="141">
        <v>5</v>
      </c>
      <c r="G20" s="143">
        <v>6</v>
      </c>
      <c r="H20" s="142"/>
      <c r="I20" s="142"/>
      <c r="J20" s="142"/>
      <c r="K20" s="142"/>
      <c r="L20" s="20"/>
      <c r="M20" s="142"/>
      <c r="N20" s="142"/>
      <c r="O20" s="142"/>
      <c r="P20" s="142"/>
      <c r="R20" s="56" t="s">
        <v>34</v>
      </c>
      <c r="S20" s="57"/>
      <c r="T20" s="57"/>
      <c r="U20" s="57"/>
      <c r="V20" s="58"/>
      <c r="W20" s="58">
        <f>Sheet2!I89</f>
        <v>0.072</v>
      </c>
      <c r="X20" s="61" t="s">
        <v>33</v>
      </c>
      <c r="Y20" s="6"/>
      <c r="Z20" s="20"/>
      <c r="AA20" s="20"/>
      <c r="AB20" s="20"/>
      <c r="AC20" s="20"/>
      <c r="AD20" s="20"/>
    </row>
    <row r="21" spans="1:30" ht="14.25" thickTop="1">
      <c r="A21" s="70">
        <v>1</v>
      </c>
      <c r="B21" s="152">
        <v>1001.3</v>
      </c>
      <c r="C21" s="155">
        <v>1003</v>
      </c>
      <c r="D21" s="158">
        <v>1001.8</v>
      </c>
      <c r="E21" s="144">
        <v>999.3</v>
      </c>
      <c r="F21" s="161"/>
      <c r="G21" s="164"/>
      <c r="H21" s="142"/>
      <c r="I21" s="142"/>
      <c r="J21" s="142"/>
      <c r="K21" s="142"/>
      <c r="L21" s="20"/>
      <c r="M21" s="142"/>
      <c r="N21" s="142"/>
      <c r="O21" s="142"/>
      <c r="P21" s="142"/>
      <c r="R21" s="56" t="s">
        <v>107</v>
      </c>
      <c r="S21" s="57"/>
      <c r="T21" s="57"/>
      <c r="U21" s="57"/>
      <c r="V21" s="58"/>
      <c r="W21" s="58">
        <f>Sheet2!I90</f>
        <v>0.002886751345948129</v>
      </c>
      <c r="X21" s="61" t="s">
        <v>33</v>
      </c>
      <c r="Y21" s="6"/>
      <c r="Z21" s="20"/>
      <c r="AA21" s="20"/>
      <c r="AB21" s="20"/>
      <c r="AC21" s="20"/>
      <c r="AD21" s="20"/>
    </row>
    <row r="22" spans="1:30" ht="13.5">
      <c r="A22" s="4">
        <v>2</v>
      </c>
      <c r="B22" s="153">
        <v>1001.9</v>
      </c>
      <c r="C22" s="156">
        <v>1000.8</v>
      </c>
      <c r="D22" s="159">
        <v>1003.1</v>
      </c>
      <c r="E22" s="145">
        <v>1000</v>
      </c>
      <c r="F22" s="162"/>
      <c r="G22" s="165"/>
      <c r="H22" s="20"/>
      <c r="I22" s="20"/>
      <c r="J22" s="20"/>
      <c r="K22" s="20"/>
      <c r="L22" s="20"/>
      <c r="M22" s="20"/>
      <c r="N22" s="20"/>
      <c r="O22" s="20"/>
      <c r="P22" s="20"/>
      <c r="R22" s="56"/>
      <c r="S22" s="57"/>
      <c r="T22" s="57"/>
      <c r="U22" s="57"/>
      <c r="V22" s="57"/>
      <c r="W22" s="58"/>
      <c r="X22" s="61"/>
      <c r="Y22" s="6"/>
      <c r="Z22" s="20"/>
      <c r="AA22" s="20"/>
      <c r="AB22" s="20"/>
      <c r="AC22" s="20"/>
      <c r="AD22" s="20"/>
    </row>
    <row r="23" spans="1:30" ht="13.5">
      <c r="A23" s="4">
        <v>3</v>
      </c>
      <c r="B23" s="153">
        <v>1001.4</v>
      </c>
      <c r="C23" s="156">
        <v>1001.6</v>
      </c>
      <c r="D23" s="159">
        <v>999</v>
      </c>
      <c r="E23" s="145">
        <v>998.7</v>
      </c>
      <c r="F23" s="162"/>
      <c r="G23" s="166"/>
      <c r="H23" s="8"/>
      <c r="I23" s="8"/>
      <c r="J23" s="8"/>
      <c r="K23" s="8"/>
      <c r="L23" s="8"/>
      <c r="M23" s="8"/>
      <c r="N23" s="8"/>
      <c r="O23" s="8"/>
      <c r="P23" s="8"/>
      <c r="R23" s="56" t="s">
        <v>32</v>
      </c>
      <c r="S23" s="57"/>
      <c r="T23" s="57"/>
      <c r="U23" s="57"/>
      <c r="V23" s="57"/>
      <c r="W23" s="58">
        <f>Sheet2!I92</f>
        <v>0.12222929272478164</v>
      </c>
      <c r="X23" s="61" t="s">
        <v>33</v>
      </c>
      <c r="Y23" s="6"/>
      <c r="Z23" s="20"/>
      <c r="AA23" s="20"/>
      <c r="AB23" s="20"/>
      <c r="AC23" s="20"/>
      <c r="AD23" s="20"/>
    </row>
    <row r="24" spans="1:30" ht="14.25" thickBot="1">
      <c r="A24" s="4">
        <v>4</v>
      </c>
      <c r="B24" s="153">
        <v>1002.1</v>
      </c>
      <c r="C24" s="156">
        <v>999.6</v>
      </c>
      <c r="D24" s="159">
        <v>1000.9</v>
      </c>
      <c r="E24" s="145">
        <v>1000.8</v>
      </c>
      <c r="F24" s="162"/>
      <c r="G24" s="166"/>
      <c r="H24" s="8"/>
      <c r="I24" s="8"/>
      <c r="J24" s="8"/>
      <c r="K24" s="8"/>
      <c r="L24" s="8"/>
      <c r="M24" s="8"/>
      <c r="N24" s="8"/>
      <c r="O24" s="8"/>
      <c r="P24" s="8"/>
      <c r="R24" s="62" t="s">
        <v>35</v>
      </c>
      <c r="S24" s="63"/>
      <c r="T24" s="63"/>
      <c r="U24" s="63"/>
      <c r="V24" s="63"/>
      <c r="W24" s="68">
        <f>Sheet2!I93</f>
        <v>0.25</v>
      </c>
      <c r="X24" s="69" t="s">
        <v>33</v>
      </c>
      <c r="Y24" s="6"/>
      <c r="Z24" s="20"/>
      <c r="AA24" s="20"/>
      <c r="AB24" s="20"/>
      <c r="AC24" s="20"/>
      <c r="AD24" s="20"/>
    </row>
    <row r="25" spans="1:30" ht="13.5">
      <c r="A25" s="3">
        <v>5</v>
      </c>
      <c r="B25" s="152">
        <v>1000.8</v>
      </c>
      <c r="C25" s="155">
        <v>1003.5</v>
      </c>
      <c r="D25" s="158">
        <v>999.4</v>
      </c>
      <c r="E25" s="144">
        <v>1000</v>
      </c>
      <c r="F25" s="161"/>
      <c r="G25" s="166"/>
      <c r="H25" s="8"/>
      <c r="I25" s="8"/>
      <c r="J25" s="8"/>
      <c r="K25" s="8"/>
      <c r="L25" s="8"/>
      <c r="M25" s="8"/>
      <c r="N25" s="8"/>
      <c r="O25" s="8"/>
      <c r="P25" s="8"/>
      <c r="Y25" s="6"/>
      <c r="Z25" s="20"/>
      <c r="AA25" s="20"/>
      <c r="AB25" s="20"/>
      <c r="AC25" s="20"/>
      <c r="AD25" s="20"/>
    </row>
    <row r="26" spans="1:30" ht="13.5">
      <c r="A26" s="4">
        <v>6</v>
      </c>
      <c r="B26" s="153"/>
      <c r="C26" s="156"/>
      <c r="D26" s="159"/>
      <c r="E26" s="145"/>
      <c r="F26" s="162"/>
      <c r="G26" s="166"/>
      <c r="H26" s="8"/>
      <c r="I26" s="8"/>
      <c r="J26" s="8"/>
      <c r="K26" s="8"/>
      <c r="L26" s="8"/>
      <c r="M26" s="8"/>
      <c r="N26" s="8"/>
      <c r="O26" s="8"/>
      <c r="P26" s="8"/>
      <c r="Y26" s="6"/>
      <c r="Z26" s="20"/>
      <c r="AA26" s="20"/>
      <c r="AB26" s="20"/>
      <c r="AC26" s="20"/>
      <c r="AD26" s="20"/>
    </row>
    <row r="27" spans="1:30" ht="13.5">
      <c r="A27" s="3">
        <v>7</v>
      </c>
      <c r="B27" s="153"/>
      <c r="C27" s="156"/>
      <c r="D27" s="159"/>
      <c r="E27" s="145"/>
      <c r="F27" s="162"/>
      <c r="G27" s="166"/>
      <c r="H27" s="8"/>
      <c r="I27" s="8"/>
      <c r="J27" s="8"/>
      <c r="K27" s="8"/>
      <c r="L27" s="8"/>
      <c r="M27" s="8"/>
      <c r="N27" s="8"/>
      <c r="O27" s="8"/>
      <c r="P27" s="8"/>
      <c r="Y27" s="7"/>
      <c r="Z27" s="20"/>
      <c r="AA27" s="20"/>
      <c r="AB27" s="20"/>
      <c r="AC27" s="20"/>
      <c r="AD27" s="20"/>
    </row>
    <row r="28" spans="1:30" ht="13.5">
      <c r="A28" s="4">
        <v>8</v>
      </c>
      <c r="B28" s="153"/>
      <c r="C28" s="156"/>
      <c r="D28" s="159"/>
      <c r="E28" s="145"/>
      <c r="F28" s="162"/>
      <c r="G28" s="166"/>
      <c r="H28" s="8"/>
      <c r="I28" s="8"/>
      <c r="J28" s="8"/>
      <c r="K28" s="8"/>
      <c r="L28" s="8"/>
      <c r="M28" s="8"/>
      <c r="N28" s="8"/>
      <c r="O28" s="8"/>
      <c r="P28" s="8"/>
      <c r="Q28" s="20"/>
      <c r="Y28" s="27"/>
      <c r="Z28" s="8"/>
      <c r="AA28" s="8"/>
      <c r="AB28" s="8"/>
      <c r="AC28" s="8"/>
      <c r="AD28" s="8"/>
    </row>
    <row r="29" spans="1:30" ht="13.5">
      <c r="A29" s="4">
        <v>9</v>
      </c>
      <c r="B29" s="153"/>
      <c r="C29" s="156"/>
      <c r="D29" s="159"/>
      <c r="E29" s="145"/>
      <c r="F29" s="162"/>
      <c r="G29" s="166"/>
      <c r="H29" s="8"/>
      <c r="I29" s="8"/>
      <c r="J29" s="8"/>
      <c r="K29" s="8"/>
      <c r="L29" s="8"/>
      <c r="M29" s="8"/>
      <c r="N29" s="8"/>
      <c r="O29" s="8"/>
      <c r="P29" s="8"/>
      <c r="Q29" s="20"/>
      <c r="Y29" s="27"/>
      <c r="Z29" s="8"/>
      <c r="AA29" s="8"/>
      <c r="AB29" s="8"/>
      <c r="AC29" s="8"/>
      <c r="AD29" s="8"/>
    </row>
    <row r="30" spans="1:95" ht="14.25" thickBot="1">
      <c r="A30" s="5">
        <v>10</v>
      </c>
      <c r="B30" s="154"/>
      <c r="C30" s="157"/>
      <c r="D30" s="160"/>
      <c r="E30" s="146"/>
      <c r="F30" s="163"/>
      <c r="G30" s="167"/>
      <c r="H30" s="8"/>
      <c r="I30" s="8"/>
      <c r="J30" s="8"/>
      <c r="K30" s="8"/>
      <c r="L30" s="8"/>
      <c r="M30" s="8"/>
      <c r="N30" s="8"/>
      <c r="O30" s="8"/>
      <c r="P30" s="8"/>
      <c r="Q30" s="20"/>
      <c r="Z30" s="8"/>
      <c r="AA30" s="8"/>
      <c r="AB30" s="8"/>
      <c r="AC30" s="8"/>
      <c r="AD30" s="8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</row>
    <row r="31" spans="6:95" ht="14.25" customHeight="1" thickTop="1">
      <c r="F31" s="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Z31" s="8"/>
      <c r="AA31" s="8"/>
      <c r="AB31" s="8"/>
      <c r="AC31" s="8"/>
      <c r="AD31" s="8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</row>
    <row r="32" spans="7:95" ht="13.5"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Z32" s="8"/>
      <c r="AA32" s="8"/>
      <c r="AB32" s="8"/>
      <c r="AC32" s="8"/>
      <c r="AD32" s="8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</row>
    <row r="33" spans="7:95" ht="13.5">
      <c r="G33" s="8"/>
      <c r="H33" s="8"/>
      <c r="I33" s="21"/>
      <c r="J33" s="21"/>
      <c r="K33" s="8"/>
      <c r="L33" s="8"/>
      <c r="M33" s="8"/>
      <c r="N33" s="8"/>
      <c r="O33" s="8"/>
      <c r="P33" s="8"/>
      <c r="Q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</row>
  </sheetData>
  <sheetProtection password="C7CA" sheet="1" objects="1" scenarios="1"/>
  <mergeCells count="6">
    <mergeCell ref="M15:M16"/>
    <mergeCell ref="A15:C15"/>
    <mergeCell ref="A16:C16"/>
    <mergeCell ref="G15:G16"/>
    <mergeCell ref="H15:I15"/>
    <mergeCell ref="H16:I16"/>
  </mergeCells>
  <printOptions/>
  <pageMargins left="0.75" right="0.75" top="1" bottom="1" header="0.512" footer="0.512"/>
  <pageSetup horizontalDpi="355" verticalDpi="355" orientation="portrait" paperSize="9" scale="35" r:id="rId2"/>
  <colBreaks count="2" manualBreakCount="2">
    <brk id="16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W385"/>
  <sheetViews>
    <sheetView workbookViewId="0" topLeftCell="A1">
      <selection activeCell="K23" sqref="K23"/>
    </sheetView>
  </sheetViews>
  <sheetFormatPr defaultColWidth="9.00390625" defaultRowHeight="13.5"/>
  <cols>
    <col min="1" max="1" width="10.00390625" style="0" customWidth="1"/>
    <col min="4" max="4" width="9.875" style="0" bestFit="1" customWidth="1"/>
    <col min="8" max="8" width="9.375" style="0" customWidth="1"/>
    <col min="11" max="11" width="9.875" style="0" customWidth="1"/>
    <col min="12" max="12" width="8.875" style="0" customWidth="1"/>
    <col min="17" max="17" width="9.50390625" style="0" bestFit="1" customWidth="1"/>
    <col min="18" max="18" width="10.375" style="0" customWidth="1"/>
    <col min="32" max="32" width="11.00390625" style="0" bestFit="1" customWidth="1"/>
  </cols>
  <sheetData>
    <row r="1" spans="1:13" ht="14.25" thickBot="1">
      <c r="A1" s="81" t="str">
        <f>Sheet1!A13</f>
        <v>2,4-ジクロロフェノール：ヘキサン溶媒・1000ppm　(生データ：24DCP調製不、解析用に並べ替えたデータ：A24DCP-h-h調製不）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03"/>
      <c r="M1" s="104"/>
    </row>
    <row r="2" spans="1:11" ht="14.25" thickBot="1">
      <c r="A2" s="86" t="str">
        <f>Sheet1!A1</f>
        <v>ファイル名：一段分岐 v.1.5 （一段枝分かれ分析自動計算システム） by Takao Nakagawa &amp; Shigemitsu Shin &lt;2002/04/01&gt;</v>
      </c>
      <c r="B2" s="122"/>
      <c r="C2" s="88"/>
      <c r="D2" s="88"/>
      <c r="E2" s="88"/>
      <c r="F2" s="123"/>
      <c r="G2" s="88"/>
      <c r="H2" s="88"/>
      <c r="I2" s="88"/>
      <c r="J2" s="88"/>
      <c r="K2" s="123"/>
    </row>
    <row r="3" spans="1:7" ht="14.25" thickBot="1">
      <c r="A3" s="174" t="s">
        <v>113</v>
      </c>
      <c r="B3" s="175">
        <v>1</v>
      </c>
      <c r="C3" s="176">
        <v>2</v>
      </c>
      <c r="D3" s="176">
        <v>3</v>
      </c>
      <c r="E3" s="176">
        <v>4</v>
      </c>
      <c r="F3" s="177">
        <v>5</v>
      </c>
      <c r="G3" s="178">
        <v>6</v>
      </c>
    </row>
    <row r="4" spans="1:16" ht="14.25" thickTop="1">
      <c r="A4" s="16" t="s">
        <v>1</v>
      </c>
      <c r="B4">
        <f>SUM(Sheet1!B21:B30)</f>
        <v>5007.5</v>
      </c>
      <c r="C4">
        <f>SUM(Sheet1!C21:C30)</f>
        <v>5008.5</v>
      </c>
      <c r="D4">
        <f>SUM(Sheet1!D21:D30)</f>
        <v>5004.2</v>
      </c>
      <c r="E4">
        <f>SUM(Sheet1!E21:E30)</f>
        <v>4998.8</v>
      </c>
      <c r="F4">
        <f>SUM(Sheet1!F21:F30)</f>
        <v>0</v>
      </c>
      <c r="G4">
        <f>SUM(Sheet1!G21:G30)</f>
        <v>0</v>
      </c>
      <c r="H4" s="21">
        <f>SUM(B4:G4)/Sheet1!K16</f>
        <v>4003.8</v>
      </c>
      <c r="I4" s="21"/>
      <c r="J4" s="21"/>
      <c r="K4" s="21"/>
      <c r="L4" s="21"/>
      <c r="M4" s="21"/>
      <c r="N4" s="21"/>
      <c r="O4" s="21"/>
      <c r="P4" s="21"/>
    </row>
    <row r="5" spans="1:16" ht="13.5">
      <c r="A5" s="16" t="s">
        <v>2</v>
      </c>
      <c r="B5">
        <f>B4/Sheet1!$K$16</f>
        <v>1001.5</v>
      </c>
      <c r="C5">
        <f>C4/Sheet1!$K$16</f>
        <v>1001.7</v>
      </c>
      <c r="D5">
        <f>D4/Sheet1!$K$16</f>
        <v>1000.8399999999999</v>
      </c>
      <c r="E5">
        <f>E4/Sheet1!$K$16</f>
        <v>999.76</v>
      </c>
      <c r="F5">
        <f>F4/Sheet1!$K$16</f>
        <v>0</v>
      </c>
      <c r="G5">
        <f>G4/Sheet1!$K$16</f>
        <v>0</v>
      </c>
      <c r="H5" s="147">
        <f>SUM(B5:G5)</f>
        <v>4003.8</v>
      </c>
      <c r="I5" s="148" t="s">
        <v>87</v>
      </c>
      <c r="J5" s="21"/>
      <c r="K5" s="21"/>
      <c r="L5" s="21"/>
      <c r="M5" s="21"/>
      <c r="N5" s="21"/>
      <c r="O5" s="21"/>
      <c r="P5" s="21"/>
    </row>
    <row r="6" spans="1:16" ht="13.5">
      <c r="A6" s="16" t="s">
        <v>3</v>
      </c>
      <c r="B6" s="9">
        <f>SUM(B5:F5)/Sheet1!$K$15</f>
        <v>1000.95</v>
      </c>
      <c r="H6" s="21"/>
      <c r="I6" s="21"/>
      <c r="J6" s="21"/>
      <c r="K6" s="21"/>
      <c r="L6" s="21"/>
      <c r="M6" s="21"/>
      <c r="N6" s="21"/>
      <c r="O6" s="21"/>
      <c r="P6" s="21"/>
    </row>
    <row r="8" spans="1:7" ht="13.5">
      <c r="A8" t="s">
        <v>86</v>
      </c>
      <c r="B8">
        <f>IF(B5=0,0,B5-$B$6)</f>
        <v>0.5499999999999545</v>
      </c>
      <c r="C8">
        <f>IF(C5=0,0,C5-$B$6)</f>
        <v>0.75</v>
      </c>
      <c r="D8">
        <f>IF(D5=0,0,D5-$B$6)</f>
        <v>-0.11000000000012733</v>
      </c>
      <c r="E8">
        <f>IF(E5=0,0,E5-$B$6)</f>
        <v>-1.1900000000000546</v>
      </c>
      <c r="F8">
        <f>IF(F5=0,0,F5-$B$6)</f>
        <v>0</v>
      </c>
      <c r="G8">
        <f>IF(G5=0,0,G5-$G$6)</f>
        <v>0</v>
      </c>
    </row>
    <row r="9" spans="1:9" ht="13.5">
      <c r="A9" s="23" t="s">
        <v>93</v>
      </c>
      <c r="B9">
        <f aca="true" t="shared" si="0" ref="B9:G9">B8*B8</f>
        <v>0.30249999999995</v>
      </c>
      <c r="C9">
        <f t="shared" si="0"/>
        <v>0.5625</v>
      </c>
      <c r="D9">
        <f t="shared" si="0"/>
        <v>0.012100000000028012</v>
      </c>
      <c r="E9">
        <f t="shared" si="0"/>
        <v>1.4161000000001298</v>
      </c>
      <c r="F9">
        <f t="shared" si="0"/>
        <v>0</v>
      </c>
      <c r="G9">
        <f t="shared" si="0"/>
        <v>0</v>
      </c>
      <c r="H9" s="10">
        <f>SUM(B9:G9)</f>
        <v>2.293200000000108</v>
      </c>
      <c r="I9" s="12" t="s">
        <v>94</v>
      </c>
    </row>
    <row r="11" spans="1:7" ht="13.5">
      <c r="A11" t="s">
        <v>85</v>
      </c>
      <c r="B11">
        <f>IF(Sheet1!B21=0,0,Sheet1!B21-$B$5)</f>
        <v>-0.20000000000004547</v>
      </c>
      <c r="C11">
        <f>IF(Sheet1!C21=0,0,Sheet1!C21-$C$5)</f>
        <v>1.2999999999999545</v>
      </c>
      <c r="D11">
        <f>IF(Sheet1!D21=0,0,Sheet1!D21-$D$5)</f>
        <v>0.9600000000000364</v>
      </c>
      <c r="E11">
        <f>IF(Sheet1!E21=0,0,Sheet1!E21-$E$5)</f>
        <v>-0.4600000000000364</v>
      </c>
      <c r="F11">
        <f>IF(Sheet1!F21=0,0,Sheet1!F21-$F$5)</f>
        <v>0</v>
      </c>
      <c r="G11">
        <f>IF(Sheet1!G23=0,0,Sheet1!G23-$G$5)</f>
        <v>0</v>
      </c>
    </row>
    <row r="12" spans="2:7" ht="13.5">
      <c r="B12">
        <f>IF(Sheet1!B22=0,0,Sheet1!B22-$B$5)</f>
        <v>0.39999999999997726</v>
      </c>
      <c r="C12">
        <f>IF(Sheet1!C22=0,0,Sheet1!C22-$C$5)</f>
        <v>-0.900000000000091</v>
      </c>
      <c r="D12">
        <f>IF(Sheet1!D22=0,0,Sheet1!D22-$D$5)</f>
        <v>2.2600000000001046</v>
      </c>
      <c r="E12">
        <f>IF(Sheet1!E22=0,0,Sheet1!E22-$E$5)</f>
        <v>0.2400000000000091</v>
      </c>
      <c r="F12">
        <f>IF(Sheet1!F22=0,0,Sheet1!F22-$F$5)</f>
        <v>0</v>
      </c>
      <c r="G12">
        <f>IF(Sheet1!G24=0,0,Sheet1!G24-$G$5)</f>
        <v>0</v>
      </c>
    </row>
    <row r="13" spans="2:7" ht="13.5">
      <c r="B13">
        <f>IF(Sheet1!B23=0,0,Sheet1!B23-$B$5)</f>
        <v>-0.10000000000002274</v>
      </c>
      <c r="C13">
        <f>IF(Sheet1!C23=0,0,Sheet1!C23-$C$5)</f>
        <v>-0.10000000000002274</v>
      </c>
      <c r="D13">
        <f>IF(Sheet1!D23=0,0,Sheet1!D23-$D$5)</f>
        <v>-1.8399999999999181</v>
      </c>
      <c r="E13">
        <f>IF(Sheet1!E23=0,0,Sheet1!E23-$E$5)</f>
        <v>-1.0599999999999454</v>
      </c>
      <c r="F13">
        <f>IF(Sheet1!F23=0,0,Sheet1!F23-$F$5)</f>
        <v>0</v>
      </c>
      <c r="G13">
        <f>IF(Sheet1!G25=0,0,Sheet1!G25-$G$5)</f>
        <v>0</v>
      </c>
    </row>
    <row r="14" spans="2:7" ht="13.5">
      <c r="B14">
        <f>IF(Sheet1!B24=0,0,Sheet1!B24-$B$5)</f>
        <v>0.6000000000000227</v>
      </c>
      <c r="C14">
        <f>IF(Sheet1!C24=0,0,Sheet1!C24-$C$5)</f>
        <v>-2.1000000000000227</v>
      </c>
      <c r="D14">
        <f>IF(Sheet1!D24=0,0,Sheet1!D24-$D$5)</f>
        <v>0.06000000000005912</v>
      </c>
      <c r="E14">
        <f>IF(Sheet1!E24=0,0,Sheet1!E24-$E$5)</f>
        <v>1.0399999999999636</v>
      </c>
      <c r="F14">
        <f>IF(Sheet1!F24=0,0,Sheet1!F24-$F$5)</f>
        <v>0</v>
      </c>
      <c r="G14">
        <f>IF(Sheet1!G26=0,0,Sheet1!G26-$G$5)</f>
        <v>0</v>
      </c>
    </row>
    <row r="15" spans="2:7" ht="13.5">
      <c r="B15">
        <f>IF(Sheet1!B25=0,0,Sheet1!B25-$B$5)</f>
        <v>-0.7000000000000455</v>
      </c>
      <c r="C15">
        <f>IF(Sheet1!C25=0,0,Sheet1!C25-$C$5)</f>
        <v>1.7999999999999545</v>
      </c>
      <c r="D15">
        <f>IF(Sheet1!D25=0,0,Sheet1!D25-$D$5)</f>
        <v>-1.4399999999999409</v>
      </c>
      <c r="E15">
        <f>IF(Sheet1!E25=0,0,Sheet1!E25-$E$5)</f>
        <v>0.2400000000000091</v>
      </c>
      <c r="F15">
        <f>IF(Sheet1!F25=0,0,Sheet1!F25-$F$5)</f>
        <v>0</v>
      </c>
      <c r="G15">
        <f>IF(Sheet1!G27=0,0,Sheet1!G27-$G$5)</f>
        <v>0</v>
      </c>
    </row>
    <row r="16" spans="2:7" ht="13.5">
      <c r="B16">
        <f>IF(Sheet1!B26=0,0,Sheet1!B26-$B$5)</f>
        <v>0</v>
      </c>
      <c r="C16">
        <f>IF(Sheet1!C26=0,0,Sheet1!C26-$C$5)</f>
        <v>0</v>
      </c>
      <c r="D16">
        <f>IF(Sheet1!D26=0,0,Sheet1!D26-$D$5)</f>
        <v>0</v>
      </c>
      <c r="E16">
        <f>IF(Sheet1!E26=0,0,Sheet1!E26-$E$5)</f>
        <v>0</v>
      </c>
      <c r="F16">
        <f>IF(Sheet1!F26=0,0,Sheet1!F26-$F$5)</f>
        <v>0</v>
      </c>
      <c r="G16">
        <f>IF(Sheet1!G28=0,0,Sheet1!G28-$G$5)</f>
        <v>0</v>
      </c>
    </row>
    <row r="17" spans="2:7" ht="13.5">
      <c r="B17">
        <f>IF(Sheet1!B27=0,0,Sheet1!B27-$B$5)</f>
        <v>0</v>
      </c>
      <c r="C17">
        <f>IF(Sheet1!C27=0,0,Sheet1!C27-$C$5)</f>
        <v>0</v>
      </c>
      <c r="D17">
        <f>IF(Sheet1!D27=0,0,Sheet1!D27-$D$5)</f>
        <v>0</v>
      </c>
      <c r="E17">
        <f>IF(Sheet1!E27=0,0,Sheet1!E27-$E$5)</f>
        <v>0</v>
      </c>
      <c r="F17">
        <f>IF(Sheet1!F27=0,0,Sheet1!F27-$F$5)</f>
        <v>0</v>
      </c>
      <c r="G17">
        <f>IF(Sheet1!G29=0,0,Sheet1!G29-$G$5)</f>
        <v>0</v>
      </c>
    </row>
    <row r="18" spans="2:7" ht="13.5">
      <c r="B18">
        <f>IF(Sheet1!B28=0,0,Sheet1!B28-$B$5)</f>
        <v>0</v>
      </c>
      <c r="C18">
        <f>IF(Sheet1!C28=0,0,Sheet1!C28-$C$5)</f>
        <v>0</v>
      </c>
      <c r="D18">
        <f>IF(Sheet1!D28=0,0,Sheet1!D28-$D$5)</f>
        <v>0</v>
      </c>
      <c r="E18">
        <f>IF(Sheet1!E28=0,0,Sheet1!E28-$E$5)</f>
        <v>0</v>
      </c>
      <c r="F18">
        <f>IF(Sheet1!F28=0,0,Sheet1!F28-$F$5)</f>
        <v>0</v>
      </c>
      <c r="G18">
        <f>IF(Sheet1!G30=0,0,Sheet1!G30-$G$5)</f>
        <v>0</v>
      </c>
    </row>
    <row r="19" spans="2:7" ht="13.5">
      <c r="B19">
        <f>IF(Sheet1!B29=0,0,Sheet1!B29-$B$5)</f>
        <v>0</v>
      </c>
      <c r="C19">
        <f>IF(Sheet1!C29=0,0,Sheet1!C29-$C$5)</f>
        <v>0</v>
      </c>
      <c r="D19">
        <f>IF(Sheet1!D29=0,0,Sheet1!D29-$D$5)</f>
        <v>0</v>
      </c>
      <c r="E19">
        <f>IF(Sheet1!E29=0,0,Sheet1!E29-$E$5)</f>
        <v>0</v>
      </c>
      <c r="F19">
        <f>IF(Sheet1!F29=0,0,Sheet1!F29-$F$5)</f>
        <v>0</v>
      </c>
      <c r="G19">
        <f>IF(Sheet1!G31=0,0,Sheet1!G31-$G$5)</f>
        <v>0</v>
      </c>
    </row>
    <row r="20" spans="1:7" ht="13.5">
      <c r="A20" t="s">
        <v>19</v>
      </c>
      <c r="B20">
        <f>IF(Sheet1!B30=0,0,Sheet1!B30-$B$5)</f>
        <v>0</v>
      </c>
      <c r="C20">
        <f>IF(Sheet1!C30=0,0,Sheet1!C30-$C$5)</f>
        <v>0</v>
      </c>
      <c r="D20">
        <f>IF(Sheet1!D30=0,0,Sheet1!D30-$D$5)</f>
        <v>0</v>
      </c>
      <c r="E20">
        <f>IF(Sheet1!E30=0,0,Sheet1!E30-$E$5)</f>
        <v>0</v>
      </c>
      <c r="F20">
        <f>IF(Sheet1!F30=0,0,Sheet1!F30-$F$5)</f>
        <v>0</v>
      </c>
      <c r="G20">
        <f>IF(Sheet1!G32=0,0,Sheet1!G32-$G$5)</f>
        <v>0</v>
      </c>
    </row>
    <row r="21" spans="1:7" ht="13.5">
      <c r="A21" s="23" t="s">
        <v>91</v>
      </c>
      <c r="B21">
        <f aca="true" t="shared" si="1" ref="B21:B30">B11*B11</f>
        <v>0.04000000000001819</v>
      </c>
      <c r="C21">
        <f aca="true" t="shared" si="2" ref="C21:G22">C11*C11</f>
        <v>1.6899999999998818</v>
      </c>
      <c r="D21">
        <f t="shared" si="2"/>
        <v>0.9216000000000698</v>
      </c>
      <c r="E21">
        <f t="shared" si="2"/>
        <v>0.21160000000003346</v>
      </c>
      <c r="F21">
        <f t="shared" si="2"/>
        <v>0</v>
      </c>
      <c r="G21">
        <f t="shared" si="2"/>
        <v>0</v>
      </c>
    </row>
    <row r="22" spans="2:7" ht="13.5">
      <c r="B22">
        <f t="shared" si="1"/>
        <v>0.15999999999998182</v>
      </c>
      <c r="C22">
        <f t="shared" si="2"/>
        <v>0.8100000000001637</v>
      </c>
      <c r="D22">
        <f t="shared" si="2"/>
        <v>5.107600000000473</v>
      </c>
      <c r="E22">
        <f t="shared" si="2"/>
        <v>0.05760000000000436</v>
      </c>
      <c r="F22">
        <f t="shared" si="2"/>
        <v>0</v>
      </c>
      <c r="G22">
        <f t="shared" si="2"/>
        <v>0</v>
      </c>
    </row>
    <row r="23" spans="2:7" ht="13.5">
      <c r="B23">
        <f t="shared" si="1"/>
        <v>0.010000000000004547</v>
      </c>
      <c r="C23">
        <f aca="true" t="shared" si="3" ref="C23:G26">C13*C13</f>
        <v>0.010000000000004547</v>
      </c>
      <c r="D23">
        <f t="shared" si="3"/>
        <v>3.3855999999996986</v>
      </c>
      <c r="E23">
        <f t="shared" si="3"/>
        <v>1.1235999999998842</v>
      </c>
      <c r="F23">
        <f t="shared" si="3"/>
        <v>0</v>
      </c>
      <c r="G23">
        <f t="shared" si="3"/>
        <v>0</v>
      </c>
    </row>
    <row r="24" spans="2:7" ht="13.5">
      <c r="B24">
        <f t="shared" si="1"/>
        <v>0.3600000000000273</v>
      </c>
      <c r="C24">
        <f t="shared" si="3"/>
        <v>4.410000000000095</v>
      </c>
      <c r="D24">
        <f t="shared" si="3"/>
        <v>0.003600000000007094</v>
      </c>
      <c r="E24">
        <f t="shared" si="3"/>
        <v>1.0815999999999244</v>
      </c>
      <c r="F24">
        <f t="shared" si="3"/>
        <v>0</v>
      </c>
      <c r="G24">
        <f t="shared" si="3"/>
        <v>0</v>
      </c>
    </row>
    <row r="25" spans="2:7" ht="13.5">
      <c r="B25">
        <f t="shared" si="1"/>
        <v>0.49000000000006366</v>
      </c>
      <c r="C25">
        <f t="shared" si="3"/>
        <v>3.2399999999998363</v>
      </c>
      <c r="D25">
        <f t="shared" si="3"/>
        <v>2.07359999999983</v>
      </c>
      <c r="E25">
        <f t="shared" si="3"/>
        <v>0.05760000000000436</v>
      </c>
      <c r="F25">
        <f t="shared" si="3"/>
        <v>0</v>
      </c>
      <c r="G25">
        <f t="shared" si="3"/>
        <v>0</v>
      </c>
    </row>
    <row r="26" spans="2:7" ht="13.5">
      <c r="B26">
        <f t="shared" si="1"/>
        <v>0</v>
      </c>
      <c r="C26">
        <f t="shared" si="3"/>
        <v>0</v>
      </c>
      <c r="D26">
        <f t="shared" si="3"/>
        <v>0</v>
      </c>
      <c r="E26">
        <f t="shared" si="3"/>
        <v>0</v>
      </c>
      <c r="F26">
        <f t="shared" si="3"/>
        <v>0</v>
      </c>
      <c r="G26">
        <f t="shared" si="3"/>
        <v>0</v>
      </c>
    </row>
    <row r="27" spans="2:7" ht="13.5">
      <c r="B27">
        <f t="shared" si="1"/>
        <v>0</v>
      </c>
      <c r="C27">
        <f aca="true" t="shared" si="4" ref="C27:G30">C17*C17</f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</row>
    <row r="28" spans="2:7" ht="13.5">
      <c r="B28">
        <f t="shared" si="1"/>
        <v>0</v>
      </c>
      <c r="C28">
        <f t="shared" si="4"/>
        <v>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</row>
    <row r="29" spans="2:7" ht="13.5">
      <c r="B29">
        <f t="shared" si="1"/>
        <v>0</v>
      </c>
      <c r="C29">
        <f t="shared" si="4"/>
        <v>0</v>
      </c>
      <c r="D29">
        <f t="shared" si="4"/>
        <v>0</v>
      </c>
      <c r="E29">
        <f t="shared" si="4"/>
        <v>0</v>
      </c>
      <c r="F29">
        <f t="shared" si="4"/>
        <v>0</v>
      </c>
      <c r="G29">
        <f t="shared" si="4"/>
        <v>0</v>
      </c>
    </row>
    <row r="30" spans="2:9" ht="13.5">
      <c r="B30">
        <f t="shared" si="1"/>
        <v>0</v>
      </c>
      <c r="C30">
        <f t="shared" si="4"/>
        <v>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 s="10">
        <f>SUM(B21:G30)</f>
        <v>25.244</v>
      </c>
      <c r="I30" s="12" t="s">
        <v>92</v>
      </c>
    </row>
    <row r="33" spans="1:7" ht="13.5">
      <c r="A33" s="64" t="s">
        <v>83</v>
      </c>
      <c r="B33">
        <f>IF(Sheet1!B21=0,0,Sheet1!B21-$B$6)</f>
        <v>0.34999999999990905</v>
      </c>
      <c r="C33">
        <f>IF(Sheet1!C21=0,0,Sheet1!C21-$B$6)</f>
        <v>2.0499999999999545</v>
      </c>
      <c r="D33">
        <f>IF(Sheet1!D21=0,0,Sheet1!D21-$B$6)</f>
        <v>0.849999999999909</v>
      </c>
      <c r="E33">
        <f>IF(Sheet1!E21=0,0,Sheet1!E21-$B$6)</f>
        <v>-1.650000000000091</v>
      </c>
      <c r="F33">
        <f>IF(Sheet1!F21=0,0,Sheet1!F21-$B$6)</f>
        <v>0</v>
      </c>
      <c r="G33">
        <f>IF(Sheet1!G21=0,0,Sheet1!G21-$B$6)</f>
        <v>0</v>
      </c>
    </row>
    <row r="34" spans="2:7" ht="13.5">
      <c r="B34">
        <f>IF(Sheet1!B22=0,0,Sheet1!B22-$B$6)</f>
        <v>0.9499999999999318</v>
      </c>
      <c r="C34">
        <f>IF(Sheet1!C22=0,0,Sheet1!C22-$B$6)</f>
        <v>-0.15000000000009095</v>
      </c>
      <c r="D34">
        <f>IF(Sheet1!D22=0,0,Sheet1!D22-$B$6)</f>
        <v>2.1499999999999773</v>
      </c>
      <c r="E34">
        <f>IF(Sheet1!E22=0,0,Sheet1!E22-$B$6)</f>
        <v>-0.9500000000000455</v>
      </c>
      <c r="F34">
        <f>IF(Sheet1!F22=0,0,Sheet1!F22-$B$6)</f>
        <v>0</v>
      </c>
      <c r="G34">
        <f>IF(Sheet1!G22=0,0,Sheet1!G22-$B$6)</f>
        <v>0</v>
      </c>
    </row>
    <row r="35" spans="2:7" ht="13.5">
      <c r="B35">
        <f>IF(Sheet1!B23=0,0,Sheet1!B23-$B$6)</f>
        <v>0.4499999999999318</v>
      </c>
      <c r="C35">
        <f>IF(Sheet1!C23=0,0,Sheet1!C23-$B$6)</f>
        <v>0.6499999999999773</v>
      </c>
      <c r="D35">
        <f>IF(Sheet1!D23=0,0,Sheet1!D23-$B$6)</f>
        <v>-1.9500000000000455</v>
      </c>
      <c r="E35">
        <f>IF(Sheet1!E23=0,0,Sheet1!E23-$B$6)</f>
        <v>-2.25</v>
      </c>
      <c r="F35">
        <f>IF(Sheet1!F23=0,0,Sheet1!F23-$B$6)</f>
        <v>0</v>
      </c>
      <c r="G35">
        <f>IF(Sheet1!G23=0,0,Sheet1!G23-$B$6)</f>
        <v>0</v>
      </c>
    </row>
    <row r="36" spans="2:7" ht="13.5">
      <c r="B36">
        <f>IF(Sheet1!B24=0,0,Sheet1!B24-$B$6)</f>
        <v>1.1499999999999773</v>
      </c>
      <c r="C36">
        <f>IF(Sheet1!C24=0,0,Sheet1!C24-$B$6)</f>
        <v>-1.3500000000000227</v>
      </c>
      <c r="D36">
        <f>IF(Sheet1!D24=0,0,Sheet1!D24-$B$6)</f>
        <v>-0.05000000000006821</v>
      </c>
      <c r="E36">
        <f>IF(Sheet1!E24=0,0,Sheet1!E24-$B$6)</f>
        <v>-0.15000000000009095</v>
      </c>
      <c r="F36">
        <f>IF(Sheet1!F24=0,0,Sheet1!F24-$B$6)</f>
        <v>0</v>
      </c>
      <c r="G36">
        <f>IF(Sheet1!G24=0,0,Sheet1!G24-$B$6)</f>
        <v>0</v>
      </c>
    </row>
    <row r="37" spans="2:7" ht="13.5">
      <c r="B37">
        <f>IF(Sheet1!B25=0,0,Sheet1!B25-$B$6)</f>
        <v>-0.15000000000009095</v>
      </c>
      <c r="C37">
        <f>IF(Sheet1!C25=0,0,Sheet1!C25-$B$6)</f>
        <v>2.5499999999999545</v>
      </c>
      <c r="D37">
        <f>IF(Sheet1!D25=0,0,Sheet1!D25-$B$6)</f>
        <v>-1.5500000000000682</v>
      </c>
      <c r="E37">
        <f>IF(Sheet1!E25=0,0,Sheet1!E25-$B$6)</f>
        <v>-0.9500000000000455</v>
      </c>
      <c r="F37">
        <f>IF(Sheet1!F25=0,0,Sheet1!F25-$B$6)</f>
        <v>0</v>
      </c>
      <c r="G37">
        <f>IF(Sheet1!G25=0,0,Sheet1!G25-$B$6)</f>
        <v>0</v>
      </c>
    </row>
    <row r="38" spans="2:7" ht="13.5">
      <c r="B38">
        <f>IF(Sheet1!B26=0,0,Sheet1!B26-$B$6)</f>
        <v>0</v>
      </c>
      <c r="C38">
        <f>IF(Sheet1!C26=0,0,Sheet1!C26-$B$6)</f>
        <v>0</v>
      </c>
      <c r="D38">
        <f>IF(Sheet1!D26=0,0,Sheet1!D26-$B$6)</f>
        <v>0</v>
      </c>
      <c r="E38">
        <f>IF(Sheet1!E26=0,0,Sheet1!E26-$B$6)</f>
        <v>0</v>
      </c>
      <c r="F38">
        <f>IF(Sheet1!F26=0,0,Sheet1!F26-$B$6)</f>
        <v>0</v>
      </c>
      <c r="G38">
        <f>IF(Sheet1!G26=0,0,Sheet1!G26-$B$6)</f>
        <v>0</v>
      </c>
    </row>
    <row r="39" spans="2:7" ht="13.5">
      <c r="B39">
        <f>IF(Sheet1!B27=0,0,Sheet1!B27-$B$6)</f>
        <v>0</v>
      </c>
      <c r="C39">
        <f>IF(Sheet1!C27=0,0,Sheet1!C27-$B$6)</f>
        <v>0</v>
      </c>
      <c r="D39">
        <f>IF(Sheet1!D27=0,0,Sheet1!D27-$B$6)</f>
        <v>0</v>
      </c>
      <c r="E39">
        <f>IF(Sheet1!E27=0,0,Sheet1!E27-$B$6)</f>
        <v>0</v>
      </c>
      <c r="F39">
        <f>IF(Sheet1!F27=0,0,Sheet1!F27-$B$6)</f>
        <v>0</v>
      </c>
      <c r="G39">
        <f>IF(Sheet1!G27=0,0,Sheet1!G27-$B$6)</f>
        <v>0</v>
      </c>
    </row>
    <row r="40" spans="2:7" ht="13.5">
      <c r="B40">
        <f>IF(Sheet1!B28=0,0,Sheet1!B28-$B$6)</f>
        <v>0</v>
      </c>
      <c r="C40">
        <f>IF(Sheet1!C28=0,0,Sheet1!C28-$B$6)</f>
        <v>0</v>
      </c>
      <c r="D40">
        <f>IF(Sheet1!D28=0,0,Sheet1!D28-$B$6)</f>
        <v>0</v>
      </c>
      <c r="E40">
        <f>IF(Sheet1!E28=0,0,Sheet1!E28-$B$6)</f>
        <v>0</v>
      </c>
      <c r="F40">
        <f>IF(Sheet1!F28=0,0,Sheet1!F28-$B$6)</f>
        <v>0</v>
      </c>
      <c r="G40">
        <f>IF(Sheet1!G28=0,0,Sheet1!G28-$B$6)</f>
        <v>0</v>
      </c>
    </row>
    <row r="41" spans="2:7" ht="13.5">
      <c r="B41">
        <f>IF(Sheet1!B29=0,0,Sheet1!B29-$B$6)</f>
        <v>0</v>
      </c>
      <c r="C41">
        <f>IF(Sheet1!C29=0,0,Sheet1!C29-$B$6)</f>
        <v>0</v>
      </c>
      <c r="D41">
        <f>IF(Sheet1!D29=0,0,Sheet1!D29-$B$6)</f>
        <v>0</v>
      </c>
      <c r="E41">
        <f>IF(Sheet1!E29=0,0,Sheet1!E29-$B$6)</f>
        <v>0</v>
      </c>
      <c r="F41">
        <f>IF(Sheet1!F29=0,0,Sheet1!F29-$B$6)</f>
        <v>0</v>
      </c>
      <c r="G41">
        <f>IF(Sheet1!G29=0,0,Sheet1!G29-$B$6)</f>
        <v>0</v>
      </c>
    </row>
    <row r="42" spans="2:7" ht="13.5">
      <c r="B42">
        <f>IF(Sheet1!B30=0,0,Sheet1!B30-$B$6)</f>
        <v>0</v>
      </c>
      <c r="C42">
        <f>IF(Sheet1!C30=0,0,Sheet1!C30-$B$6)</f>
        <v>0</v>
      </c>
      <c r="D42">
        <f>IF(Sheet1!D30=0,0,Sheet1!D30-$B$6)</f>
        <v>0</v>
      </c>
      <c r="E42">
        <f>IF(Sheet1!E30=0,0,Sheet1!E30-$B$6)</f>
        <v>0</v>
      </c>
      <c r="F42">
        <f>IF(Sheet1!F30=0,0,Sheet1!F30-$B$6)</f>
        <v>0</v>
      </c>
      <c r="G42">
        <f>IF(Sheet1!G30=0,0,Sheet1!G30-$B$6)</f>
        <v>0</v>
      </c>
    </row>
    <row r="43" spans="1:7" ht="13.5">
      <c r="A43" s="64" t="s">
        <v>84</v>
      </c>
      <c r="B43">
        <f aca="true" t="shared" si="5" ref="B43:B52">B33*B33</f>
        <v>0.12249999999993634</v>
      </c>
      <c r="C43">
        <f aca="true" t="shared" si="6" ref="C43:G44">C33*C33</f>
        <v>4.202499999999813</v>
      </c>
      <c r="D43">
        <f t="shared" si="6"/>
        <v>0.7224999999998454</v>
      </c>
      <c r="E43">
        <f t="shared" si="6"/>
        <v>2.7225000000003003</v>
      </c>
      <c r="F43">
        <f t="shared" si="6"/>
        <v>0</v>
      </c>
      <c r="G43">
        <f t="shared" si="6"/>
        <v>0</v>
      </c>
    </row>
    <row r="44" spans="2:7" ht="13.5">
      <c r="B44">
        <f t="shared" si="5"/>
        <v>0.9024999999998704</v>
      </c>
      <c r="C44">
        <f t="shared" si="6"/>
        <v>0.022500000000027286</v>
      </c>
      <c r="D44">
        <f t="shared" si="6"/>
        <v>4.622499999999902</v>
      </c>
      <c r="E44">
        <f t="shared" si="6"/>
        <v>0.9025000000000865</v>
      </c>
      <c r="F44">
        <f t="shared" si="6"/>
        <v>0</v>
      </c>
      <c r="G44">
        <f t="shared" si="6"/>
        <v>0</v>
      </c>
    </row>
    <row r="45" spans="2:7" ht="13.5">
      <c r="B45">
        <f t="shared" si="5"/>
        <v>0.20249999999993862</v>
      </c>
      <c r="C45">
        <f aca="true" t="shared" si="7" ref="C45:G48">C35*C35</f>
        <v>0.42249999999997045</v>
      </c>
      <c r="D45">
        <f t="shared" si="7"/>
        <v>3.8025000000001774</v>
      </c>
      <c r="E45">
        <f t="shared" si="7"/>
        <v>5.0625</v>
      </c>
      <c r="F45">
        <f t="shared" si="7"/>
        <v>0</v>
      </c>
      <c r="G45">
        <f t="shared" si="7"/>
        <v>0</v>
      </c>
    </row>
    <row r="46" spans="2:7" ht="13.5">
      <c r="B46">
        <f t="shared" si="5"/>
        <v>1.3224999999999476</v>
      </c>
      <c r="C46">
        <f t="shared" si="7"/>
        <v>1.8225000000000613</v>
      </c>
      <c r="D46">
        <f t="shared" si="7"/>
        <v>0.0025000000000068214</v>
      </c>
      <c r="E46">
        <f t="shared" si="7"/>
        <v>0.022500000000027286</v>
      </c>
      <c r="F46">
        <f t="shared" si="7"/>
        <v>0</v>
      </c>
      <c r="G46">
        <f t="shared" si="7"/>
        <v>0</v>
      </c>
    </row>
    <row r="47" spans="2:7" ht="13.5">
      <c r="B47">
        <f t="shared" si="5"/>
        <v>0.022500000000027286</v>
      </c>
      <c r="C47">
        <f t="shared" si="7"/>
        <v>6.502499999999768</v>
      </c>
      <c r="D47">
        <f t="shared" si="7"/>
        <v>2.4025000000002112</v>
      </c>
      <c r="E47">
        <f t="shared" si="7"/>
        <v>0.9025000000000865</v>
      </c>
      <c r="F47">
        <f t="shared" si="7"/>
        <v>0</v>
      </c>
      <c r="G47">
        <f t="shared" si="7"/>
        <v>0</v>
      </c>
    </row>
    <row r="48" spans="2:7" ht="13.5">
      <c r="B48">
        <f t="shared" si="5"/>
        <v>0</v>
      </c>
      <c r="C48">
        <f t="shared" si="7"/>
        <v>0</v>
      </c>
      <c r="D48">
        <f t="shared" si="7"/>
        <v>0</v>
      </c>
      <c r="E48">
        <f t="shared" si="7"/>
        <v>0</v>
      </c>
      <c r="F48">
        <f t="shared" si="7"/>
        <v>0</v>
      </c>
      <c r="G48">
        <f t="shared" si="7"/>
        <v>0</v>
      </c>
    </row>
    <row r="49" spans="2:7" ht="13.5">
      <c r="B49">
        <f t="shared" si="5"/>
        <v>0</v>
      </c>
      <c r="C49">
        <f aca="true" t="shared" si="8" ref="C49:G52">C39*C39</f>
        <v>0</v>
      </c>
      <c r="D49">
        <f t="shared" si="8"/>
        <v>0</v>
      </c>
      <c r="E49">
        <f t="shared" si="8"/>
        <v>0</v>
      </c>
      <c r="F49">
        <f t="shared" si="8"/>
        <v>0</v>
      </c>
      <c r="G49">
        <f t="shared" si="8"/>
        <v>0</v>
      </c>
    </row>
    <row r="50" spans="2:7" ht="13.5">
      <c r="B50">
        <f t="shared" si="5"/>
        <v>0</v>
      </c>
      <c r="C50">
        <f t="shared" si="8"/>
        <v>0</v>
      </c>
      <c r="D50">
        <f t="shared" si="8"/>
        <v>0</v>
      </c>
      <c r="E50">
        <f t="shared" si="8"/>
        <v>0</v>
      </c>
      <c r="F50">
        <f t="shared" si="8"/>
        <v>0</v>
      </c>
      <c r="G50">
        <f t="shared" si="8"/>
        <v>0</v>
      </c>
    </row>
    <row r="51" spans="2:7" ht="13.5">
      <c r="B51">
        <f t="shared" si="5"/>
        <v>0</v>
      </c>
      <c r="C51">
        <f t="shared" si="8"/>
        <v>0</v>
      </c>
      <c r="D51">
        <f t="shared" si="8"/>
        <v>0</v>
      </c>
      <c r="E51">
        <f t="shared" si="8"/>
        <v>0</v>
      </c>
      <c r="F51">
        <f t="shared" si="8"/>
        <v>0</v>
      </c>
      <c r="G51">
        <f t="shared" si="8"/>
        <v>0</v>
      </c>
    </row>
    <row r="52" spans="2:9" ht="13.5">
      <c r="B52">
        <f t="shared" si="5"/>
        <v>0</v>
      </c>
      <c r="C52">
        <f t="shared" si="8"/>
        <v>0</v>
      </c>
      <c r="D52">
        <f t="shared" si="8"/>
        <v>0</v>
      </c>
      <c r="E52">
        <f t="shared" si="8"/>
        <v>0</v>
      </c>
      <c r="F52">
        <f t="shared" si="8"/>
        <v>0</v>
      </c>
      <c r="G52">
        <f t="shared" si="8"/>
        <v>0</v>
      </c>
      <c r="H52" s="13">
        <f>SUM(B43:G52)</f>
        <v>36.71000000000001</v>
      </c>
      <c r="I52" s="149" t="s">
        <v>90</v>
      </c>
    </row>
    <row r="53" spans="27:127" ht="13.5">
      <c r="AA53" s="24"/>
      <c r="AF53" s="13"/>
      <c r="AG53" s="14"/>
      <c r="AZ53" s="24"/>
      <c r="BY53" s="24"/>
      <c r="CX53" s="24"/>
      <c r="DW53" s="24"/>
    </row>
    <row r="54" spans="1:127" ht="13.5">
      <c r="A54" s="16" t="s">
        <v>4</v>
      </c>
      <c r="B54" s="23" t="s">
        <v>88</v>
      </c>
      <c r="AA54" s="24"/>
      <c r="AZ54" s="24"/>
      <c r="BY54" s="24"/>
      <c r="CX54" s="24"/>
      <c r="DW54" s="24"/>
    </row>
    <row r="55" spans="3:127" ht="13.5">
      <c r="C55" t="s">
        <v>89</v>
      </c>
      <c r="K55" s="11">
        <f>B$5/Sheet1!$K$16</f>
        <v>200.3</v>
      </c>
      <c r="AA55" s="24"/>
      <c r="AZ55" s="24"/>
      <c r="BY55" s="24"/>
      <c r="CX55" s="24"/>
      <c r="DW55" s="24"/>
    </row>
    <row r="56" spans="3:127" ht="13.5">
      <c r="C56" t="s">
        <v>21</v>
      </c>
      <c r="K56" s="11">
        <f>C$5/Sheet1!$K$16</f>
        <v>200.34</v>
      </c>
      <c r="AA56" s="24"/>
      <c r="AZ56" s="24"/>
      <c r="BY56" s="24"/>
      <c r="CX56" s="24"/>
      <c r="DW56" s="24"/>
    </row>
    <row r="57" spans="3:127" ht="14.25" customHeight="1">
      <c r="C57" t="s">
        <v>22</v>
      </c>
      <c r="K57" s="11">
        <f>D$5/Sheet1!$K$16</f>
        <v>200.16799999999998</v>
      </c>
      <c r="AA57" s="24"/>
      <c r="AZ57" s="24"/>
      <c r="BY57" s="24"/>
      <c r="CX57" s="24"/>
      <c r="DW57" s="24"/>
    </row>
    <row r="58" spans="3:127" ht="14.25" customHeight="1">
      <c r="C58" t="s">
        <v>5</v>
      </c>
      <c r="K58" s="11">
        <f>E$5/Sheet1!$K$16</f>
        <v>199.952</v>
      </c>
      <c r="AA58" s="24"/>
      <c r="AZ58" s="24"/>
      <c r="BY58" s="24"/>
      <c r="CX58" s="24"/>
      <c r="DW58" s="24"/>
    </row>
    <row r="59" spans="3:127" ht="14.25" customHeight="1">
      <c r="C59" t="s">
        <v>6</v>
      </c>
      <c r="K59" s="11">
        <f>F$5/Sheet1!$K$16</f>
        <v>0</v>
      </c>
      <c r="AA59" s="24"/>
      <c r="AZ59" s="24"/>
      <c r="BY59" s="24"/>
      <c r="CX59" s="24"/>
      <c r="DW59" s="24"/>
    </row>
    <row r="60" spans="3:127" ht="14.25" customHeight="1">
      <c r="C60" t="s">
        <v>7</v>
      </c>
      <c r="K60" s="11">
        <f>G$5/Sheet1!$K$16</f>
        <v>0</v>
      </c>
      <c r="AA60" s="24"/>
      <c r="AZ60" s="24"/>
      <c r="BY60" s="24"/>
      <c r="CX60" s="24"/>
      <c r="DW60" s="24"/>
    </row>
    <row r="61" spans="27:127" ht="13.5">
      <c r="AA61" s="24"/>
      <c r="AZ61" s="24"/>
      <c r="BY61" s="24"/>
      <c r="CX61" s="24"/>
      <c r="DW61" s="24"/>
    </row>
    <row r="62" spans="2:127" ht="13.5">
      <c r="B62" s="23" t="s">
        <v>20</v>
      </c>
      <c r="AA62" s="24"/>
      <c r="AZ62" s="24"/>
      <c r="BY62" s="24"/>
      <c r="CX62" s="24"/>
      <c r="DW62" s="24"/>
    </row>
    <row r="63" spans="3:127" ht="13.5">
      <c r="C63" t="s">
        <v>8</v>
      </c>
      <c r="K63" s="15">
        <f>H5/Sheet1!K15</f>
        <v>1000.95</v>
      </c>
      <c r="AA63" s="24"/>
      <c r="AZ63" s="24"/>
      <c r="BY63" s="24"/>
      <c r="CX63" s="24"/>
      <c r="DW63" s="24"/>
    </row>
    <row r="64" spans="11:127" ht="13.5">
      <c r="K64" s="16"/>
      <c r="AA64" s="24"/>
      <c r="AZ64" s="24"/>
      <c r="BY64" s="24"/>
      <c r="CX64" s="24"/>
      <c r="DW64" s="24"/>
    </row>
    <row r="65" spans="1:127" ht="13.5">
      <c r="A65" s="16" t="s">
        <v>9</v>
      </c>
      <c r="B65" s="10" t="s">
        <v>95</v>
      </c>
      <c r="K65" s="11">
        <f>SUM(B9:G9)*Sheet1!K16</f>
        <v>11.466000000000541</v>
      </c>
      <c r="AZ65" s="24"/>
      <c r="BY65" s="24"/>
      <c r="CX65" s="24"/>
      <c r="DW65" s="24"/>
    </row>
    <row r="66" spans="2:127" ht="13.5">
      <c r="B66" s="10" t="s">
        <v>96</v>
      </c>
      <c r="K66" s="11">
        <f>SUM(B21:G30)</f>
        <v>25.244</v>
      </c>
      <c r="AZ66" s="24"/>
      <c r="BY66" s="24"/>
      <c r="CX66" s="24"/>
      <c r="DW66" s="24"/>
    </row>
    <row r="67" spans="2:127" ht="13.5">
      <c r="B67" s="10"/>
      <c r="K67" s="11"/>
      <c r="AZ67" s="24"/>
      <c r="BY67" s="24"/>
      <c r="CX67" s="24"/>
      <c r="DW67" s="24"/>
    </row>
    <row r="68" spans="2:127" ht="13.5">
      <c r="B68" t="s">
        <v>100</v>
      </c>
      <c r="K68" s="11">
        <f>K65+K66</f>
        <v>36.71000000000054</v>
      </c>
      <c r="AZ68" s="24"/>
      <c r="BY68" s="24"/>
      <c r="CX68" s="24"/>
      <c r="DW68" s="24"/>
    </row>
    <row r="69" spans="52:127" ht="13.5">
      <c r="AZ69" s="24"/>
      <c r="BY69" s="24"/>
      <c r="CX69" s="24"/>
      <c r="DW69" s="24"/>
    </row>
    <row r="70" spans="1:127" ht="13.5">
      <c r="A70" s="18" t="s">
        <v>10</v>
      </c>
      <c r="B70" s="17" t="s">
        <v>11</v>
      </c>
      <c r="C70" s="17"/>
      <c r="D70" s="17"/>
      <c r="E70" s="18">
        <f>Sheet1!K15-1</f>
        <v>3</v>
      </c>
      <c r="AZ70" s="24"/>
      <c r="BY70" s="24"/>
      <c r="CX70" s="24"/>
      <c r="DW70" s="24"/>
    </row>
    <row r="71" spans="1:127" ht="13.5">
      <c r="A71" s="18"/>
      <c r="B71" s="17" t="s">
        <v>99</v>
      </c>
      <c r="C71" s="17"/>
      <c r="D71" s="17"/>
      <c r="E71" s="18">
        <f>Sheet1!K15*(Sheet1!K16-1)</f>
        <v>16</v>
      </c>
      <c r="AZ71" s="24"/>
      <c r="BY71" s="24"/>
      <c r="CX71" s="24"/>
      <c r="DW71" s="24"/>
    </row>
    <row r="72" spans="1:127" ht="13.5">
      <c r="A72" s="18"/>
      <c r="B72" s="17" t="s">
        <v>97</v>
      </c>
      <c r="C72" s="17"/>
      <c r="D72" s="17"/>
      <c r="E72" s="18">
        <f>Sheet1!K15*Sheet1!K16-1</f>
        <v>19</v>
      </c>
      <c r="L72" s="27"/>
      <c r="AZ72" s="24"/>
      <c r="BY72" s="24"/>
      <c r="CX72" s="24"/>
      <c r="DW72" s="24"/>
    </row>
    <row r="73" spans="1:127" ht="13.5">
      <c r="A73" s="16"/>
      <c r="AZ73" s="24"/>
      <c r="BY73" s="24"/>
      <c r="CX73" s="24"/>
      <c r="DW73" s="24"/>
    </row>
    <row r="74" spans="1:127" ht="13.5">
      <c r="A74" s="18" t="s">
        <v>12</v>
      </c>
      <c r="B74" s="17" t="s">
        <v>13</v>
      </c>
      <c r="C74" s="17"/>
      <c r="D74" s="18">
        <f>K65/E70</f>
        <v>3.8220000000001804</v>
      </c>
      <c r="AZ74" s="24"/>
      <c r="BY74" s="24"/>
      <c r="CX74" s="24"/>
      <c r="DW74" s="24"/>
    </row>
    <row r="75" spans="1:127" ht="13.5">
      <c r="A75" s="18"/>
      <c r="B75" s="17" t="s">
        <v>98</v>
      </c>
      <c r="C75" s="17"/>
      <c r="D75" s="18">
        <f>K66/E71</f>
        <v>1.57775</v>
      </c>
      <c r="AZ75" s="24"/>
      <c r="BY75" s="24"/>
      <c r="CX75" s="24"/>
      <c r="DW75" s="24"/>
    </row>
    <row r="76" spans="1:127" ht="13.5">
      <c r="A76" s="18"/>
      <c r="B76" s="17" t="s">
        <v>14</v>
      </c>
      <c r="C76" s="17"/>
      <c r="D76" s="18">
        <f>K68/E72</f>
        <v>1.9321052631579232</v>
      </c>
      <c r="AZ76" s="24"/>
      <c r="BY76" s="24"/>
      <c r="CX76" s="24"/>
      <c r="DW76" s="24"/>
    </row>
    <row r="77" spans="1:127" ht="13.5">
      <c r="A77" s="18"/>
      <c r="B77" s="17"/>
      <c r="C77" s="17"/>
      <c r="D77" s="17"/>
      <c r="AZ77" s="24"/>
      <c r="BY77" s="24"/>
      <c r="DW77" s="24"/>
    </row>
    <row r="78" spans="1:127" ht="13.5">
      <c r="A78" s="31" t="s">
        <v>15</v>
      </c>
      <c r="B78" s="29" t="s">
        <v>114</v>
      </c>
      <c r="C78" s="29"/>
      <c r="D78" s="31">
        <f>D74/D75</f>
        <v>2.4224370147362895</v>
      </c>
      <c r="E78" s="32" t="s">
        <v>16</v>
      </c>
      <c r="F78" s="29" t="s">
        <v>115</v>
      </c>
      <c r="G78" s="31"/>
      <c r="H78" s="33">
        <f>FINV(0.05,E70,E71)</f>
        <v>3.2388669524152647</v>
      </c>
      <c r="I78" s="33"/>
      <c r="J78" s="33" t="s">
        <v>116</v>
      </c>
      <c r="K78" s="34"/>
      <c r="L78" s="29">
        <f>FDIST(D78,E70,E71)</f>
        <v>0.10371409111446298</v>
      </c>
      <c r="AZ78" s="24"/>
      <c r="BY78" s="24"/>
      <c r="DW78" s="24"/>
    </row>
    <row r="79" spans="1:127" ht="13.5">
      <c r="A79" s="16"/>
      <c r="AZ79" s="24"/>
      <c r="BY79" s="24"/>
      <c r="DW79" s="24"/>
    </row>
    <row r="80" spans="1:114" ht="13.5">
      <c r="A80" s="16"/>
      <c r="AM80" s="24"/>
      <c r="BL80" s="24"/>
      <c r="DJ80" s="24"/>
    </row>
    <row r="81" spans="1:114" ht="13.5">
      <c r="A81" s="31" t="s">
        <v>25</v>
      </c>
      <c r="B81" s="29"/>
      <c r="C81" s="29"/>
      <c r="D81" s="29"/>
      <c r="E81" s="29"/>
      <c r="F81" s="29"/>
      <c r="G81" s="29"/>
      <c r="H81" s="29"/>
      <c r="I81" s="29"/>
      <c r="J81" s="29"/>
      <c r="L81" s="19"/>
      <c r="AM81" s="24"/>
      <c r="BL81" s="24"/>
      <c r="DJ81" s="24"/>
    </row>
    <row r="82" spans="1:114" ht="13.5">
      <c r="A82" s="29" t="str">
        <f>Sheet1!H15&amp;"  Vp = σp2 = (MSp-MSe)/n ="</f>
        <v>調製間変動  Vp = σp2 = (MSp-MSe)/n =</v>
      </c>
      <c r="B82" s="29"/>
      <c r="C82" s="29"/>
      <c r="D82" s="29"/>
      <c r="E82" s="30"/>
      <c r="F82" s="31">
        <f>(D74-D75)/(Sheet1!K16)</f>
        <v>0.44885000000003605</v>
      </c>
      <c r="G82" s="29"/>
      <c r="H82" s="29"/>
      <c r="I82" s="29"/>
      <c r="J82" s="29"/>
      <c r="L82" s="19"/>
      <c r="AM82" s="24"/>
      <c r="BL82" s="24"/>
      <c r="DJ82" s="24"/>
    </row>
    <row r="83" spans="1:114" ht="13.5">
      <c r="A83" s="29" t="s">
        <v>26</v>
      </c>
      <c r="B83" s="29"/>
      <c r="C83" s="29"/>
      <c r="D83" s="29"/>
      <c r="E83" s="29"/>
      <c r="F83" s="31">
        <f>D75</f>
        <v>1.57775</v>
      </c>
      <c r="G83" s="29"/>
      <c r="H83" s="29"/>
      <c r="I83" s="29"/>
      <c r="J83" s="29"/>
      <c r="AM83" s="24"/>
      <c r="BL83" s="24"/>
      <c r="DJ83" s="24"/>
    </row>
    <row r="84" spans="1:114" ht="13.5">
      <c r="A84" s="29"/>
      <c r="B84" s="29"/>
      <c r="C84" s="29"/>
      <c r="D84" s="29"/>
      <c r="E84" s="29"/>
      <c r="F84" s="29"/>
      <c r="G84" s="29"/>
      <c r="H84" s="29"/>
      <c r="I84" s="29"/>
      <c r="J84" s="29"/>
      <c r="AM84" s="24"/>
      <c r="BL84" s="24"/>
      <c r="DJ84" s="24"/>
    </row>
    <row r="85" spans="1:114" ht="13.5">
      <c r="A85" s="31" t="str">
        <f>"jcss校正時の値付けの標準不確かさ（ただし、p' = "&amp;Sheet1!O15&amp;", n' = "&amp;Sheet1!O16&amp;" とする）"</f>
        <v>jcss校正時の値付けの標準不確かさ（ただし、p' = 1, n' = 3 とする）</v>
      </c>
      <c r="B85" s="31"/>
      <c r="C85" s="31"/>
      <c r="D85" s="31"/>
      <c r="E85" s="31"/>
      <c r="F85" s="31"/>
      <c r="G85" s="29"/>
      <c r="H85" s="29"/>
      <c r="I85" s="31" t="s">
        <v>27</v>
      </c>
      <c r="J85" s="29"/>
      <c r="AM85" s="24"/>
      <c r="BL85" s="24"/>
      <c r="DJ85" s="24"/>
    </row>
    <row r="86" spans="1:114" ht="13.5">
      <c r="A86" s="29" t="str">
        <f>Sheet1!H15&amp;"の標準不確かさ  up = √(σp2/p') ="</f>
        <v>調製間変動の標準不確かさ  up = √(σp2/p') =</v>
      </c>
      <c r="B86" s="29"/>
      <c r="C86" s="29"/>
      <c r="D86" s="29"/>
      <c r="E86" s="29"/>
      <c r="F86" s="29">
        <f>SQRT(IF(F82&lt;=0,0,F82)/Sheet1!O15)</f>
        <v>0.6699626855281091</v>
      </c>
      <c r="G86" s="29"/>
      <c r="H86" s="29"/>
      <c r="I86" s="31">
        <f>F86/Sheet1!$D$15*100</f>
        <v>0.0669962685528109</v>
      </c>
      <c r="J86" s="33" t="s">
        <v>59</v>
      </c>
      <c r="AM86" s="24"/>
      <c r="BL86" s="24"/>
      <c r="DJ86" s="24"/>
    </row>
    <row r="87" spans="1:114" ht="13.5">
      <c r="A87" s="29" t="str">
        <f>Sheet1!H16&amp;"の標準不確かさ  ue = √(σe2/n'p') ＝"</f>
        <v>測定誤差変動の標準不確かさ  ue = √(σe2/n'p') ＝</v>
      </c>
      <c r="B87" s="29"/>
      <c r="C87" s="29"/>
      <c r="D87" s="29"/>
      <c r="E87" s="29"/>
      <c r="F87" s="29">
        <f>SQRT(IF(F83&lt;=0,0,F83)/(Sheet1!O16*Sheet1!O15))</f>
        <v>0.7252011215288258</v>
      </c>
      <c r="G87" s="29"/>
      <c r="H87" s="29"/>
      <c r="I87" s="31">
        <f>F87/Sheet1!$D$15*100</f>
        <v>0.07252011215288258</v>
      </c>
      <c r="J87" s="33" t="s">
        <v>59</v>
      </c>
      <c r="AM87" s="24"/>
      <c r="BL87" s="24"/>
      <c r="DJ87" s="24"/>
    </row>
    <row r="88" spans="1:114" ht="13.5">
      <c r="A88" s="29"/>
      <c r="B88" s="29"/>
      <c r="C88" s="29"/>
      <c r="D88" s="29"/>
      <c r="E88" s="29"/>
      <c r="F88" s="29"/>
      <c r="G88" s="29"/>
      <c r="H88" s="29"/>
      <c r="I88" s="31"/>
      <c r="J88" s="33"/>
      <c r="AM88" s="24"/>
      <c r="BL88" s="24"/>
      <c r="DJ88" s="24"/>
    </row>
    <row r="89" spans="1:114" ht="13.5">
      <c r="A89" s="105" t="s">
        <v>58</v>
      </c>
      <c r="B89" s="105"/>
      <c r="C89" s="105"/>
      <c r="D89" s="105"/>
      <c r="E89" s="105"/>
      <c r="F89" s="105"/>
      <c r="G89" s="105"/>
      <c r="H89" s="105"/>
      <c r="I89" s="106">
        <f>Sheet1!D16</f>
        <v>0.072</v>
      </c>
      <c r="J89" s="105" t="s">
        <v>59</v>
      </c>
      <c r="AM89" s="24"/>
      <c r="BL89" s="24"/>
      <c r="DJ89" s="24"/>
    </row>
    <row r="90" spans="1:114" ht="13.5">
      <c r="A90" s="105" t="s">
        <v>101</v>
      </c>
      <c r="B90" s="105"/>
      <c r="C90" s="105"/>
      <c r="D90" s="105"/>
      <c r="E90" s="105"/>
      <c r="F90" s="105"/>
      <c r="G90" s="105"/>
      <c r="H90" s="105"/>
      <c r="I90" s="106">
        <f>((Sheet1!D17/1000-0)/SQRT(12))/Sheet1!D15*100</f>
        <v>0.002886751345948129</v>
      </c>
      <c r="J90" s="105" t="s">
        <v>59</v>
      </c>
      <c r="AM90" s="24"/>
      <c r="BL90" s="24"/>
      <c r="DJ90" s="24"/>
    </row>
    <row r="91" spans="1:114" ht="13.5">
      <c r="A91" s="29"/>
      <c r="B91" s="29"/>
      <c r="C91" s="29"/>
      <c r="D91" s="29"/>
      <c r="E91" s="29"/>
      <c r="F91" s="29"/>
      <c r="G91" s="29"/>
      <c r="H91" s="29"/>
      <c r="I91" s="31"/>
      <c r="J91" s="107"/>
      <c r="AM91" s="24"/>
      <c r="BL91" s="24"/>
      <c r="DJ91" s="24"/>
    </row>
    <row r="92" spans="1:114" ht="13.5">
      <c r="A92" s="29" t="s">
        <v>111</v>
      </c>
      <c r="B92" s="29"/>
      <c r="C92" s="29"/>
      <c r="D92" s="29"/>
      <c r="E92" s="29"/>
      <c r="F92" s="29"/>
      <c r="G92" s="29"/>
      <c r="H92" s="29"/>
      <c r="I92" s="31">
        <f>SQRT(I86^2+I87^2+I89^2+I90^2)</f>
        <v>0.12222929272478164</v>
      </c>
      <c r="J92" s="107" t="s">
        <v>59</v>
      </c>
      <c r="AM92" s="24"/>
      <c r="BL92" s="24"/>
      <c r="DJ92" s="24"/>
    </row>
    <row r="93" spans="1:114" ht="13.5">
      <c r="A93" s="29" t="s">
        <v>29</v>
      </c>
      <c r="B93" s="29"/>
      <c r="C93" s="29"/>
      <c r="D93" s="29"/>
      <c r="E93" s="29"/>
      <c r="F93" s="29"/>
      <c r="G93" s="29"/>
      <c r="H93" s="29"/>
      <c r="I93" s="31">
        <f>ROUNDUP(2*I92,2)</f>
        <v>0.25</v>
      </c>
      <c r="J93" s="107" t="s">
        <v>59</v>
      </c>
      <c r="AM93" s="24"/>
      <c r="BL93" s="24"/>
      <c r="DJ93" s="24"/>
    </row>
    <row r="94" spans="39:114" ht="13.5">
      <c r="AM94" s="24"/>
      <c r="BL94" s="24"/>
      <c r="DJ94" s="24"/>
    </row>
    <row r="95" spans="1:114" ht="14.25" thickBot="1">
      <c r="A95" s="75"/>
      <c r="B95" s="75"/>
      <c r="C95" s="75"/>
      <c r="D95" s="75"/>
      <c r="E95" s="75"/>
      <c r="F95" s="75"/>
      <c r="G95" s="75"/>
      <c r="AM95" s="24"/>
      <c r="BL95" s="24"/>
      <c r="DJ95" s="24"/>
    </row>
    <row r="96" spans="1:114" ht="15" thickBot="1" thickTop="1">
      <c r="A96" s="74" t="s">
        <v>0</v>
      </c>
      <c r="B96" s="74" t="s">
        <v>9</v>
      </c>
      <c r="C96" s="74" t="s">
        <v>10</v>
      </c>
      <c r="D96" s="74" t="s">
        <v>12</v>
      </c>
      <c r="E96" s="74" t="s">
        <v>36</v>
      </c>
      <c r="F96" s="74"/>
      <c r="G96" s="64"/>
      <c r="AM96" s="24"/>
      <c r="BL96" s="24"/>
      <c r="DJ96" s="24"/>
    </row>
    <row r="97" spans="1:114" ht="13.5">
      <c r="A97" s="64" t="s">
        <v>44</v>
      </c>
      <c r="B97" s="64" t="s">
        <v>37</v>
      </c>
      <c r="C97" s="64" t="s">
        <v>38</v>
      </c>
      <c r="D97" s="64" t="s">
        <v>39</v>
      </c>
      <c r="E97" s="64" t="s">
        <v>103</v>
      </c>
      <c r="F97" s="64"/>
      <c r="G97" s="76"/>
      <c r="AM97" s="24"/>
      <c r="BL97" s="24"/>
      <c r="DJ97" s="24"/>
    </row>
    <row r="98" spans="1:114" ht="14.25" thickBot="1">
      <c r="A98" s="74" t="s">
        <v>40</v>
      </c>
      <c r="B98" s="74" t="s">
        <v>41</v>
      </c>
      <c r="C98" s="74" t="s">
        <v>102</v>
      </c>
      <c r="D98" s="74" t="s">
        <v>42</v>
      </c>
      <c r="E98" s="74" t="s">
        <v>43</v>
      </c>
      <c r="F98" s="74"/>
      <c r="G98" s="74"/>
      <c r="AM98" s="24"/>
      <c r="BL98" s="24"/>
      <c r="DJ98" s="24"/>
    </row>
    <row r="99" spans="39:114" ht="14.25" thickBot="1">
      <c r="AM99" s="24"/>
      <c r="BL99" s="24"/>
      <c r="DJ99" s="24"/>
    </row>
    <row r="100" spans="1:114" ht="14.25" thickBot="1">
      <c r="A100" s="83" t="s">
        <v>57</v>
      </c>
      <c r="H100" s="22"/>
      <c r="I100" s="22"/>
      <c r="AM100" s="24"/>
      <c r="BL100" s="24"/>
      <c r="DJ100" s="24"/>
    </row>
    <row r="101" spans="1:114" ht="14.25" thickBot="1">
      <c r="A101" s="84" t="s">
        <v>45</v>
      </c>
      <c r="B101" s="85" t="s">
        <v>46</v>
      </c>
      <c r="C101" s="85"/>
      <c r="D101" s="85"/>
      <c r="E101" s="85"/>
      <c r="F101" s="85"/>
      <c r="G101" s="96"/>
      <c r="H101" s="36"/>
      <c r="I101" s="22"/>
      <c r="AM101" s="24"/>
      <c r="BL101" s="24"/>
      <c r="DJ101" s="24"/>
    </row>
    <row r="102" spans="1:114" ht="14.25" thickBot="1">
      <c r="A102" s="86" t="s">
        <v>47</v>
      </c>
      <c r="B102" s="87"/>
      <c r="C102" s="87" t="s">
        <v>105</v>
      </c>
      <c r="D102" s="87"/>
      <c r="E102" s="87"/>
      <c r="F102" s="87"/>
      <c r="G102" s="97"/>
      <c r="H102" s="36"/>
      <c r="I102" s="22"/>
      <c r="AM102" s="24"/>
      <c r="BL102" s="24"/>
      <c r="DJ102" s="24"/>
    </row>
    <row r="103" spans="1:114" ht="14.25" thickBot="1">
      <c r="A103" s="89" t="s">
        <v>48</v>
      </c>
      <c r="B103" s="91" t="s">
        <v>49</v>
      </c>
      <c r="C103" s="92" t="s">
        <v>50</v>
      </c>
      <c r="D103" s="92" t="s">
        <v>51</v>
      </c>
      <c r="E103" s="92" t="s">
        <v>52</v>
      </c>
      <c r="F103" s="92" t="s">
        <v>53</v>
      </c>
      <c r="G103" s="98" t="s">
        <v>54</v>
      </c>
      <c r="H103" s="36"/>
      <c r="I103" s="22"/>
      <c r="AM103" s="24"/>
      <c r="BL103" s="24"/>
      <c r="DJ103" s="24"/>
    </row>
    <row r="104" spans="1:114" ht="13.5">
      <c r="A104" s="90" t="s">
        <v>104</v>
      </c>
      <c r="B104" s="93">
        <v>11.465999999999609</v>
      </c>
      <c r="C104" s="94">
        <v>3</v>
      </c>
      <c r="D104" s="94">
        <v>3.8219999999998695</v>
      </c>
      <c r="E104" s="95">
        <f>D104/D105</f>
        <v>2.422437014736091</v>
      </c>
      <c r="F104" s="95">
        <f>FDIST(E104,C104,C105)</f>
        <v>0.10371409111448204</v>
      </c>
      <c r="G104" s="99">
        <f>FINV(0.05,C104,C105)</f>
        <v>3.2388669524152647</v>
      </c>
      <c r="H104" s="36"/>
      <c r="I104" s="22"/>
      <c r="AM104" s="24"/>
      <c r="BL104" s="24"/>
      <c r="DJ104" s="24"/>
    </row>
    <row r="105" spans="1:114" ht="14.25" thickBot="1">
      <c r="A105" s="90" t="s">
        <v>55</v>
      </c>
      <c r="B105" s="93">
        <v>25.244000000000014</v>
      </c>
      <c r="C105" s="94">
        <v>16</v>
      </c>
      <c r="D105" s="94">
        <v>1.5777500000000009</v>
      </c>
      <c r="E105" s="95"/>
      <c r="F105" s="95"/>
      <c r="G105" s="99"/>
      <c r="H105" s="36"/>
      <c r="I105" s="22"/>
      <c r="AM105" s="24"/>
      <c r="BL105" s="24"/>
      <c r="DJ105" s="24"/>
    </row>
    <row r="106" spans="1:127" ht="14.25" thickBot="1">
      <c r="A106" s="89" t="s">
        <v>56</v>
      </c>
      <c r="B106" s="91">
        <v>36.710000000000264</v>
      </c>
      <c r="C106" s="92">
        <v>19</v>
      </c>
      <c r="D106" s="92"/>
      <c r="E106" s="150"/>
      <c r="F106" s="150"/>
      <c r="G106" s="151"/>
      <c r="H106" s="36"/>
      <c r="I106" s="22"/>
      <c r="AZ106" s="24"/>
      <c r="BY106" s="24"/>
      <c r="DW106" s="24"/>
    </row>
    <row r="107" spans="8:127" ht="13.5">
      <c r="H107" s="22"/>
      <c r="AZ107" s="24"/>
      <c r="BY107" s="24"/>
      <c r="DW107" s="24"/>
    </row>
    <row r="108" spans="52:127" ht="13.5">
      <c r="AZ108" s="24"/>
      <c r="BY108" s="24"/>
      <c r="DW108" s="24"/>
    </row>
    <row r="109" spans="1:127" ht="13.5">
      <c r="A109" s="108" t="s">
        <v>60</v>
      </c>
      <c r="B109" s="108"/>
      <c r="C109" s="108"/>
      <c r="D109" s="108"/>
      <c r="H109" s="21"/>
      <c r="AZ109" s="24"/>
      <c r="BY109" s="24"/>
      <c r="DW109" s="24"/>
    </row>
    <row r="110" spans="1:127" ht="13.5">
      <c r="A110" s="108" t="s">
        <v>61</v>
      </c>
      <c r="B110" s="108"/>
      <c r="C110" s="108"/>
      <c r="D110" s="108">
        <f>B6</f>
        <v>1000.95</v>
      </c>
      <c r="AZ110" s="24"/>
      <c r="BY110" s="24"/>
      <c r="DW110" s="24"/>
    </row>
    <row r="111" spans="1:127" ht="13.5">
      <c r="A111" s="108" t="s">
        <v>108</v>
      </c>
      <c r="B111" s="108"/>
      <c r="C111" s="108"/>
      <c r="D111" s="108">
        <f>(D74-D75)/Sheet1!K16</f>
        <v>0.44885000000003605</v>
      </c>
      <c r="I111" s="27"/>
      <c r="J111" s="27"/>
      <c r="K111" s="21"/>
      <c r="AZ111" s="24"/>
      <c r="BY111" s="24"/>
      <c r="DW111" s="24"/>
    </row>
    <row r="112" spans="1:127" ht="13.5">
      <c r="A112" s="108" t="s">
        <v>62</v>
      </c>
      <c r="B112" s="108"/>
      <c r="C112" s="108"/>
      <c r="D112" s="108">
        <f>D75</f>
        <v>1.57775</v>
      </c>
      <c r="I112" s="27"/>
      <c r="J112" s="27"/>
      <c r="K112" s="21"/>
      <c r="AZ112" s="24"/>
      <c r="BY112" s="24"/>
      <c r="DW112" s="24"/>
    </row>
    <row r="113" spans="9:127" ht="13.5">
      <c r="I113" s="27"/>
      <c r="J113" s="27"/>
      <c r="K113" s="21"/>
      <c r="AZ113" s="24"/>
      <c r="BY113" s="24"/>
      <c r="DW113" s="24"/>
    </row>
    <row r="114" spans="9:127" ht="13.5">
      <c r="I114" s="27"/>
      <c r="J114" s="27"/>
      <c r="K114" s="21"/>
      <c r="AZ114" s="24"/>
      <c r="BY114" s="24"/>
      <c r="DW114" s="24"/>
    </row>
    <row r="115" spans="1:127" ht="13.5">
      <c r="A115" s="21" t="str">
        <f>Sheet1!H15&amp;"の標準不確かさ up = √(σp2/p) ="</f>
        <v>調製間変動の標準不確かさ up = √(σp2/p) =</v>
      </c>
      <c r="B115" s="21"/>
      <c r="C115" s="21"/>
      <c r="D115" s="21"/>
      <c r="E115" s="21"/>
      <c r="F115" s="21"/>
      <c r="G115" s="21">
        <f>SQRT(D111/Sheet1!K15)</f>
        <v>0.33498134276405456</v>
      </c>
      <c r="H115" s="27"/>
      <c r="I115" s="27"/>
      <c r="J115" s="27"/>
      <c r="K115" s="21"/>
      <c r="AZ115" s="24"/>
      <c r="BY115" s="24"/>
      <c r="DW115" s="24"/>
    </row>
    <row r="116" spans="1:127" ht="13.5">
      <c r="A116" s="21" t="str">
        <f>Sheet1!H16&amp;"の標準不確かさ ue = √(σe2/pn) ="</f>
        <v>測定誤差変動の標準不確かさ ue = √(σe2/pn) =</v>
      </c>
      <c r="B116" s="21"/>
      <c r="C116" s="21"/>
      <c r="D116" s="21"/>
      <c r="E116" s="21"/>
      <c r="F116" s="21"/>
      <c r="G116" s="21">
        <f>SQRT(D112/(Sheet1!K15*Sheet1!K16))</f>
        <v>0.2808691866332083</v>
      </c>
      <c r="H116" s="27"/>
      <c r="I116" s="27"/>
      <c r="J116" s="27"/>
      <c r="K116" s="21"/>
      <c r="AZ116" s="24"/>
      <c r="BY116" s="24"/>
      <c r="DW116" s="24"/>
    </row>
    <row r="117" spans="1:127" ht="13.5">
      <c r="A117" s="21"/>
      <c r="H117" s="27"/>
      <c r="I117" s="110"/>
      <c r="J117" s="111"/>
      <c r="K117" s="108"/>
      <c r="AZ117" s="24"/>
      <c r="BY117" s="24"/>
      <c r="DW117" s="24"/>
    </row>
    <row r="118" spans="1:127" ht="13.5">
      <c r="A118" t="s">
        <v>109</v>
      </c>
      <c r="E118" s="109">
        <f>D74/(Sheet1!K15*Sheet1!K16)</f>
        <v>0.191100000000009</v>
      </c>
      <c r="H118" s="27"/>
      <c r="I118" s="110"/>
      <c r="J118" s="110"/>
      <c r="K118" s="108"/>
      <c r="AZ118" s="24"/>
      <c r="BY118" s="24"/>
      <c r="DW118" s="24"/>
    </row>
    <row r="119" spans="8:127" ht="13.5">
      <c r="H119" s="27"/>
      <c r="I119" s="110"/>
      <c r="J119" s="110"/>
      <c r="K119" s="112"/>
      <c r="AZ119" s="24"/>
      <c r="BY119" s="24"/>
      <c r="DW119" s="24"/>
    </row>
    <row r="120" spans="1:127" ht="13.5">
      <c r="A120" t="str">
        <f>"x_ に基づくμの信頼区間 μ= x_±t1-α/2(p-1)√(MSp/pn) = x_±t1-α/2("&amp;Sheet1!K15&amp;"-1)√(MSp/("&amp;Sheet1!K15&amp;"*"&amp;Sheet1!K16&amp;"))"</f>
        <v>x_ に基づくμの信頼区間 μ= x_±t1-α/2(p-1)√(MSp/pn) = x_±t1-α/2(4-1)√(MSp/(4*5))</v>
      </c>
      <c r="H120" s="27"/>
      <c r="AZ120" s="24"/>
      <c r="BY120" s="24"/>
      <c r="DW120" s="24"/>
    </row>
    <row r="121" spans="1:127" ht="13.5">
      <c r="A121" t="str">
        <f>"                                    = x_±t1-α/2("&amp;Sheet1!K15-1&amp;")√(MSp/"&amp;Sheet1!K15*Sheet1!K16&amp;") = x_±"&amp;FIXED(TINV(0.05,E70),4)&amp;"√(MSp/"&amp;Sheet1!K15*Sheet1!K16&amp;") ="</f>
        <v>                                    = x_±t1-α/2(3)√(MSp/20) = x_±3.1824√(MSp/20) =</v>
      </c>
      <c r="H121" s="27"/>
      <c r="I121">
        <f>D110</f>
        <v>1000.95</v>
      </c>
      <c r="J121" s="111" t="s">
        <v>63</v>
      </c>
      <c r="K121">
        <f>TINV(0.05,E70)*SQRT(D74/(Sheet1!K15*Sheet1!K16))</f>
        <v>1.3912072615568285</v>
      </c>
      <c r="AZ121" s="24"/>
      <c r="BY121" s="24"/>
      <c r="DW121" s="24"/>
    </row>
    <row r="122" spans="1:127" ht="13.5">
      <c r="A122" t="str">
        <f>"x_ の標準不確かさ u = √(MSp/pn) = √(MSp/("&amp;Sheet1!K15&amp;"*"&amp;Sheet1!K16&amp;")) = √(MSp/("&amp;Sheet1!K15*Sheet1!K16&amp;") ="</f>
        <v>x_ の標準不確かさ u = √(MSp/pn) = √(MSp/(4*5)) = √(MSp/(20) =</v>
      </c>
      <c r="H122" s="27"/>
      <c r="I122">
        <f>SQRT(D74/(Sheet1!K15*Sheet1!K16))</f>
        <v>0.4371498598878982</v>
      </c>
      <c r="AZ122" s="24"/>
      <c r="BY122" s="24"/>
      <c r="DW122" s="24"/>
    </row>
    <row r="123" spans="1:127" ht="13.5">
      <c r="A123" t="s">
        <v>64</v>
      </c>
      <c r="H123" s="27"/>
      <c r="I123">
        <f>2*I122</f>
        <v>0.8742997197757963</v>
      </c>
      <c r="AZ123" s="24"/>
      <c r="BY123" s="24"/>
      <c r="DW123" s="24"/>
    </row>
    <row r="124" spans="52:127" ht="13.5">
      <c r="AZ124" s="24"/>
      <c r="BY124" s="24"/>
      <c r="DW124" s="24"/>
    </row>
    <row r="125" spans="52:127" ht="13.5">
      <c r="AZ125" s="24"/>
      <c r="BY125" s="24"/>
      <c r="DW125" s="24"/>
    </row>
    <row r="126" spans="52:127" ht="13.5">
      <c r="AZ126" s="24"/>
      <c r="BY126" s="24"/>
      <c r="DW126" s="24"/>
    </row>
    <row r="127" spans="52:127" ht="13.5">
      <c r="AZ127" s="24"/>
      <c r="BY127" s="24"/>
      <c r="DW127" s="24"/>
    </row>
    <row r="128" spans="52:127" ht="13.5">
      <c r="AZ128" s="24"/>
      <c r="BY128" s="24"/>
      <c r="DW128" s="24"/>
    </row>
    <row r="129" spans="52:127" ht="13.5">
      <c r="AZ129" s="24"/>
      <c r="BY129" s="24"/>
      <c r="DW129" s="24"/>
    </row>
    <row r="130" spans="52:127" ht="13.5">
      <c r="AZ130" s="24"/>
      <c r="BY130" s="24"/>
      <c r="DW130" s="24"/>
    </row>
    <row r="131" spans="52:127" ht="13.5">
      <c r="AZ131" s="24"/>
      <c r="BY131" s="24"/>
      <c r="DW131" s="24"/>
    </row>
    <row r="132" spans="52:127" ht="13.5">
      <c r="AZ132" s="24"/>
      <c r="BY132" s="24"/>
      <c r="DW132" s="24"/>
    </row>
    <row r="133" spans="52:127" ht="13.5">
      <c r="AZ133" s="24"/>
      <c r="BY133" s="24"/>
      <c r="DW133" s="24"/>
    </row>
    <row r="134" spans="52:127" ht="13.5">
      <c r="AZ134" s="24"/>
      <c r="BY134" s="24"/>
      <c r="DW134" s="24"/>
    </row>
    <row r="135" spans="52:127" ht="13.5">
      <c r="AZ135" s="24"/>
      <c r="BY135" s="24"/>
      <c r="DW135" s="24"/>
    </row>
    <row r="136" spans="52:127" ht="13.5">
      <c r="AZ136" s="24"/>
      <c r="BY136" s="24"/>
      <c r="DW136" s="24"/>
    </row>
    <row r="137" spans="52:127" ht="13.5">
      <c r="AZ137" s="24"/>
      <c r="BY137" s="24"/>
      <c r="DW137" s="24"/>
    </row>
    <row r="138" spans="52:127" ht="13.5">
      <c r="AZ138" s="24"/>
      <c r="BY138" s="24"/>
      <c r="DW138" s="24"/>
    </row>
    <row r="139" spans="52:127" ht="13.5">
      <c r="AZ139" s="24"/>
      <c r="BY139" s="24"/>
      <c r="DW139" s="24"/>
    </row>
    <row r="140" spans="52:127" ht="13.5">
      <c r="AZ140" s="24"/>
      <c r="BY140" s="24"/>
      <c r="DW140" s="24"/>
    </row>
    <row r="141" spans="52:127" ht="13.5">
      <c r="AZ141" s="24"/>
      <c r="BY141" s="24"/>
      <c r="DW141" s="24"/>
    </row>
    <row r="142" spans="52:127" ht="13.5">
      <c r="AZ142" s="24"/>
      <c r="BY142" s="24"/>
      <c r="DW142" s="24"/>
    </row>
    <row r="143" spans="52:127" ht="13.5">
      <c r="AZ143" s="24"/>
      <c r="BY143" s="24"/>
      <c r="DW143" s="24"/>
    </row>
    <row r="144" spans="52:127" ht="13.5">
      <c r="AZ144" s="24"/>
      <c r="BY144" s="24"/>
      <c r="DW144" s="24"/>
    </row>
    <row r="145" spans="52:127" ht="13.5">
      <c r="AZ145" s="24"/>
      <c r="BY145" s="24"/>
      <c r="DW145" s="24"/>
    </row>
    <row r="146" spans="52:127" ht="13.5">
      <c r="AZ146" s="24"/>
      <c r="BY146" s="24"/>
      <c r="DW146" s="24"/>
    </row>
    <row r="147" spans="52:127" ht="13.5">
      <c r="AZ147" s="24"/>
      <c r="BY147" s="24"/>
      <c r="DW147" s="24"/>
    </row>
    <row r="148" spans="52:127" ht="13.5">
      <c r="AZ148" s="24"/>
      <c r="BY148" s="24"/>
      <c r="DW148" s="24"/>
    </row>
    <row r="149" spans="52:127" ht="13.5">
      <c r="AZ149" s="24"/>
      <c r="BY149" s="24"/>
      <c r="DW149" s="24"/>
    </row>
    <row r="150" spans="52:127" ht="13.5">
      <c r="AZ150" s="24"/>
      <c r="BY150" s="24"/>
      <c r="DW150" s="24"/>
    </row>
    <row r="151" spans="52:127" ht="13.5">
      <c r="AZ151" s="24"/>
      <c r="BY151" s="24"/>
      <c r="DW151" s="24"/>
    </row>
    <row r="152" spans="52:127" ht="13.5">
      <c r="AZ152" s="24"/>
      <c r="BY152" s="24"/>
      <c r="DW152" s="24"/>
    </row>
    <row r="153" spans="52:127" ht="13.5">
      <c r="AZ153" s="24"/>
      <c r="BY153" s="24"/>
      <c r="DW153" s="24"/>
    </row>
    <row r="154" spans="52:127" ht="13.5">
      <c r="AZ154" s="24"/>
      <c r="BY154" s="24"/>
      <c r="DW154" s="24"/>
    </row>
    <row r="155" spans="52:127" ht="13.5">
      <c r="AZ155" s="24"/>
      <c r="BY155" s="24"/>
      <c r="DW155" s="24"/>
    </row>
    <row r="156" spans="52:127" ht="13.5">
      <c r="AZ156" s="24"/>
      <c r="BY156" s="24"/>
      <c r="DW156" s="24"/>
    </row>
    <row r="157" spans="52:127" ht="13.5">
      <c r="AZ157" s="24"/>
      <c r="BY157" s="24"/>
      <c r="DW157" s="24"/>
    </row>
    <row r="158" spans="52:127" ht="13.5">
      <c r="AZ158" s="24"/>
      <c r="BY158" s="24"/>
      <c r="DW158" s="24"/>
    </row>
    <row r="159" spans="52:127" ht="13.5">
      <c r="AZ159" s="24"/>
      <c r="BY159" s="24"/>
      <c r="DW159" s="24"/>
    </row>
    <row r="160" spans="52:127" ht="13.5">
      <c r="AZ160" s="24"/>
      <c r="BY160" s="24"/>
      <c r="DW160" s="24"/>
    </row>
    <row r="161" spans="52:127" ht="13.5">
      <c r="AZ161" s="24"/>
      <c r="BY161" s="24"/>
      <c r="DW161" s="24"/>
    </row>
    <row r="162" spans="52:127" ht="13.5">
      <c r="AZ162" s="24"/>
      <c r="BY162" s="24"/>
      <c r="DW162" s="24"/>
    </row>
    <row r="163" spans="52:127" ht="13.5">
      <c r="AZ163" s="24"/>
      <c r="BY163" s="24"/>
      <c r="DW163" s="24"/>
    </row>
    <row r="164" spans="52:127" ht="13.5">
      <c r="AZ164" s="24"/>
      <c r="BY164" s="24"/>
      <c r="DW164" s="24"/>
    </row>
    <row r="165" spans="52:127" ht="13.5">
      <c r="AZ165" s="24"/>
      <c r="BY165" s="24"/>
      <c r="DW165" s="24"/>
    </row>
    <row r="166" spans="52:127" ht="13.5">
      <c r="AZ166" s="24"/>
      <c r="BY166" s="24"/>
      <c r="DW166" s="24"/>
    </row>
    <row r="167" spans="52:127" ht="13.5">
      <c r="AZ167" s="24"/>
      <c r="BY167" s="24"/>
      <c r="DW167" s="24"/>
    </row>
    <row r="168" spans="52:127" ht="13.5">
      <c r="AZ168" s="24"/>
      <c r="BY168" s="24"/>
      <c r="DW168" s="24"/>
    </row>
    <row r="169" spans="52:127" ht="13.5">
      <c r="AZ169" s="24"/>
      <c r="BY169" s="24"/>
      <c r="DW169" s="24"/>
    </row>
    <row r="170" spans="52:127" ht="13.5">
      <c r="AZ170" s="24"/>
      <c r="BY170" s="24"/>
      <c r="DW170" s="24"/>
    </row>
    <row r="171" spans="52:127" ht="13.5">
      <c r="AZ171" s="24"/>
      <c r="BY171" s="24"/>
      <c r="DW171" s="24"/>
    </row>
    <row r="172" spans="52:127" ht="13.5">
      <c r="AZ172" s="24"/>
      <c r="BY172" s="24"/>
      <c r="DW172" s="24"/>
    </row>
    <row r="173" spans="52:127" ht="13.5">
      <c r="AZ173" s="24"/>
      <c r="BY173" s="24"/>
      <c r="DW173" s="24"/>
    </row>
    <row r="174" spans="52:127" ht="13.5">
      <c r="AZ174" s="24"/>
      <c r="BY174" s="24"/>
      <c r="DW174" s="24"/>
    </row>
    <row r="175" spans="52:127" ht="13.5">
      <c r="AZ175" s="24"/>
      <c r="BY175" s="24"/>
      <c r="DW175" s="24"/>
    </row>
    <row r="176" spans="52:127" ht="13.5">
      <c r="AZ176" s="24"/>
      <c r="BY176" s="24"/>
      <c r="DW176" s="24"/>
    </row>
    <row r="177" spans="52:127" ht="13.5">
      <c r="AZ177" s="24"/>
      <c r="BY177" s="24"/>
      <c r="DW177" s="24"/>
    </row>
    <row r="178" spans="52:127" ht="13.5">
      <c r="AZ178" s="24"/>
      <c r="BY178" s="24"/>
      <c r="DW178" s="24"/>
    </row>
    <row r="179" spans="52:127" ht="13.5">
      <c r="AZ179" s="24"/>
      <c r="BY179" s="24"/>
      <c r="DW179" s="24"/>
    </row>
    <row r="180" spans="52:127" ht="13.5">
      <c r="AZ180" s="24"/>
      <c r="BY180" s="24"/>
      <c r="DW180" s="24"/>
    </row>
    <row r="181" spans="52:127" ht="13.5">
      <c r="AZ181" s="24"/>
      <c r="BY181" s="24"/>
      <c r="DW181" s="24"/>
    </row>
    <row r="182" spans="52:127" ht="13.5">
      <c r="AZ182" s="24"/>
      <c r="BY182" s="24"/>
      <c r="DW182" s="24"/>
    </row>
    <row r="183" spans="52:127" ht="13.5">
      <c r="AZ183" s="24"/>
      <c r="BY183" s="24"/>
      <c r="DW183" s="24"/>
    </row>
    <row r="184" spans="52:127" ht="13.5">
      <c r="AZ184" s="24"/>
      <c r="BY184" s="24"/>
      <c r="DW184" s="24"/>
    </row>
    <row r="185" spans="52:127" ht="13.5">
      <c r="AZ185" s="24"/>
      <c r="BY185" s="24"/>
      <c r="DW185" s="24"/>
    </row>
    <row r="186" spans="52:127" ht="13.5">
      <c r="AZ186" s="24"/>
      <c r="BY186" s="24"/>
      <c r="DW186" s="24"/>
    </row>
    <row r="187" spans="52:127" ht="13.5">
      <c r="AZ187" s="24"/>
      <c r="BY187" s="24"/>
      <c r="DW187" s="24"/>
    </row>
    <row r="188" spans="52:127" ht="13.5">
      <c r="AZ188" s="24"/>
      <c r="BY188" s="24"/>
      <c r="DW188" s="24"/>
    </row>
    <row r="189" spans="52:127" ht="13.5">
      <c r="AZ189" s="24"/>
      <c r="BY189" s="24"/>
      <c r="DW189" s="24"/>
    </row>
    <row r="190" spans="52:127" ht="13.5">
      <c r="AZ190" s="24"/>
      <c r="BY190" s="24"/>
      <c r="DW190" s="24"/>
    </row>
    <row r="191" spans="52:127" ht="13.5">
      <c r="AZ191" s="24"/>
      <c r="BY191" s="24"/>
      <c r="DW191" s="24"/>
    </row>
    <row r="192" spans="52:127" ht="13.5">
      <c r="AZ192" s="24"/>
      <c r="BY192" s="24"/>
      <c r="DW192" s="24"/>
    </row>
    <row r="193" spans="52:127" ht="13.5">
      <c r="AZ193" s="24"/>
      <c r="BY193" s="24"/>
      <c r="DW193" s="24"/>
    </row>
    <row r="194" spans="52:127" ht="13.5">
      <c r="AZ194" s="24"/>
      <c r="BY194" s="24"/>
      <c r="DW194" s="24"/>
    </row>
    <row r="195" spans="52:127" ht="13.5">
      <c r="AZ195" s="24"/>
      <c r="BY195" s="24"/>
      <c r="DW195" s="24"/>
    </row>
    <row r="196" spans="52:127" ht="13.5">
      <c r="AZ196" s="24"/>
      <c r="BY196" s="24"/>
      <c r="DW196" s="24"/>
    </row>
    <row r="197" spans="52:127" ht="13.5">
      <c r="AZ197" s="24"/>
      <c r="BY197" s="24"/>
      <c r="DW197" s="24"/>
    </row>
    <row r="198" spans="52:127" ht="13.5">
      <c r="AZ198" s="24"/>
      <c r="BY198" s="24"/>
      <c r="DW198" s="24"/>
    </row>
    <row r="199" spans="52:127" ht="13.5">
      <c r="AZ199" s="24"/>
      <c r="BY199" s="24"/>
      <c r="DW199" s="24"/>
    </row>
    <row r="200" spans="52:127" ht="13.5">
      <c r="AZ200" s="24"/>
      <c r="BY200" s="24"/>
      <c r="DW200" s="24"/>
    </row>
    <row r="201" spans="52:127" ht="13.5">
      <c r="AZ201" s="24"/>
      <c r="BY201" s="24"/>
      <c r="DW201" s="24"/>
    </row>
    <row r="202" spans="52:127" ht="13.5">
      <c r="AZ202" s="24"/>
      <c r="BY202" s="24"/>
      <c r="DW202" s="24"/>
    </row>
    <row r="203" spans="52:127" ht="13.5">
      <c r="AZ203" s="24"/>
      <c r="DW203" s="24"/>
    </row>
    <row r="204" spans="52:127" ht="13.5">
      <c r="AZ204" s="24"/>
      <c r="DW204" s="24"/>
    </row>
    <row r="205" spans="52:127" ht="13.5">
      <c r="AZ205" s="24"/>
      <c r="DW205" s="24"/>
    </row>
    <row r="206" spans="52:127" ht="13.5">
      <c r="AZ206" s="24"/>
      <c r="DW206" s="24"/>
    </row>
    <row r="207" spans="52:127" ht="13.5">
      <c r="AZ207" s="24"/>
      <c r="DW207" s="24"/>
    </row>
    <row r="208" spans="52:127" ht="13.5">
      <c r="AZ208" s="24"/>
      <c r="DW208" s="24"/>
    </row>
    <row r="209" spans="52:127" ht="13.5">
      <c r="AZ209" s="24"/>
      <c r="DW209" s="24"/>
    </row>
    <row r="210" spans="52:127" ht="13.5">
      <c r="AZ210" s="24"/>
      <c r="DW210" s="24"/>
    </row>
    <row r="211" spans="52:127" ht="13.5">
      <c r="AZ211" s="24"/>
      <c r="DW211" s="24"/>
    </row>
    <row r="212" spans="52:127" ht="13.5">
      <c r="AZ212" s="24"/>
      <c r="DW212" s="24"/>
    </row>
    <row r="213" spans="52:127" ht="13.5">
      <c r="AZ213" s="24"/>
      <c r="DW213" s="24"/>
    </row>
    <row r="214" spans="52:127" ht="13.5">
      <c r="AZ214" s="24"/>
      <c r="DW214" s="24"/>
    </row>
    <row r="215" spans="52:127" ht="13.5">
      <c r="AZ215" s="24"/>
      <c r="DW215" s="24"/>
    </row>
    <row r="216" spans="52:127" ht="13.5">
      <c r="AZ216" s="24"/>
      <c r="DW216" s="24"/>
    </row>
    <row r="217" spans="52:127" ht="13.5">
      <c r="AZ217" s="24"/>
      <c r="DW217" s="24"/>
    </row>
    <row r="218" spans="52:127" ht="13.5">
      <c r="AZ218" s="24"/>
      <c r="DW218" s="24"/>
    </row>
    <row r="219" spans="52:127" ht="13.5">
      <c r="AZ219" s="24"/>
      <c r="DW219" s="24"/>
    </row>
    <row r="220" spans="52:127" ht="13.5">
      <c r="AZ220" s="24"/>
      <c r="DW220" s="24"/>
    </row>
    <row r="221" spans="52:127" ht="13.5">
      <c r="AZ221" s="24"/>
      <c r="DW221" s="24"/>
    </row>
    <row r="222" spans="52:127" ht="13.5">
      <c r="AZ222" s="24"/>
      <c r="DW222" s="24"/>
    </row>
    <row r="223" spans="52:127" ht="13.5">
      <c r="AZ223" s="24"/>
      <c r="DW223" s="24"/>
    </row>
    <row r="224" spans="52:127" ht="13.5">
      <c r="AZ224" s="24"/>
      <c r="DW224" s="24"/>
    </row>
    <row r="225" spans="52:127" ht="13.5">
      <c r="AZ225" s="24"/>
      <c r="DW225" s="24"/>
    </row>
    <row r="226" spans="52:127" ht="13.5">
      <c r="AZ226" s="24"/>
      <c r="DW226" s="24"/>
    </row>
    <row r="227" spans="52:127" ht="13.5">
      <c r="AZ227" s="24"/>
      <c r="DW227" s="24"/>
    </row>
    <row r="228" spans="52:127" ht="13.5">
      <c r="AZ228" s="24"/>
      <c r="DW228" s="24"/>
    </row>
    <row r="229" spans="52:127" ht="13.5">
      <c r="AZ229" s="24"/>
      <c r="DW229" s="24"/>
    </row>
    <row r="230" spans="52:127" ht="13.5">
      <c r="AZ230" s="24"/>
      <c r="DW230" s="24"/>
    </row>
    <row r="231" spans="52:127" ht="13.5">
      <c r="AZ231" s="24"/>
      <c r="DW231" s="24"/>
    </row>
    <row r="232" spans="52:127" ht="13.5">
      <c r="AZ232" s="24"/>
      <c r="DW232" s="24"/>
    </row>
    <row r="233" spans="52:127" ht="13.5">
      <c r="AZ233" s="24"/>
      <c r="DW233" s="24"/>
    </row>
    <row r="234" spans="52:127" ht="13.5">
      <c r="AZ234" s="24"/>
      <c r="DW234" s="24"/>
    </row>
    <row r="235" spans="52:127" ht="13.5">
      <c r="AZ235" s="24"/>
      <c r="DW235" s="24"/>
    </row>
    <row r="236" spans="52:127" ht="13.5">
      <c r="AZ236" s="24"/>
      <c r="DW236" s="24"/>
    </row>
    <row r="237" spans="52:127" ht="13.5">
      <c r="AZ237" s="24"/>
      <c r="DW237" s="24"/>
    </row>
    <row r="238" spans="52:127" ht="13.5">
      <c r="AZ238" s="24"/>
      <c r="DW238" s="24"/>
    </row>
    <row r="239" spans="52:127" ht="13.5">
      <c r="AZ239" s="24"/>
      <c r="DW239" s="24"/>
    </row>
    <row r="240" spans="52:127" ht="13.5">
      <c r="AZ240" s="24"/>
      <c r="DW240" s="24"/>
    </row>
    <row r="241" spans="52:127" ht="13.5">
      <c r="AZ241" s="24"/>
      <c r="DW241" s="24"/>
    </row>
    <row r="242" spans="52:127" ht="13.5">
      <c r="AZ242" s="24"/>
      <c r="DW242" s="24"/>
    </row>
    <row r="243" spans="52:127" ht="13.5">
      <c r="AZ243" s="24"/>
      <c r="DW243" s="24"/>
    </row>
    <row r="244" spans="52:127" ht="13.5">
      <c r="AZ244" s="24"/>
      <c r="DW244" s="24"/>
    </row>
    <row r="245" spans="52:127" ht="13.5">
      <c r="AZ245" s="24"/>
      <c r="DW245" s="24"/>
    </row>
    <row r="246" spans="52:127" ht="13.5">
      <c r="AZ246" s="24"/>
      <c r="DW246" s="24"/>
    </row>
    <row r="247" spans="52:127" ht="13.5">
      <c r="AZ247" s="24"/>
      <c r="DW247" s="24"/>
    </row>
    <row r="248" spans="52:127" ht="13.5">
      <c r="AZ248" s="24"/>
      <c r="DW248" s="24"/>
    </row>
    <row r="249" spans="52:127" ht="13.5">
      <c r="AZ249" s="24"/>
      <c r="DW249" s="24"/>
    </row>
    <row r="250" spans="52:127" ht="13.5">
      <c r="AZ250" s="24"/>
      <c r="DW250" s="24"/>
    </row>
    <row r="251" ht="13.5">
      <c r="AZ251" s="24"/>
    </row>
    <row r="252" ht="13.5">
      <c r="AZ252" s="24"/>
    </row>
    <row r="253" ht="13.5">
      <c r="AZ253" s="24"/>
    </row>
    <row r="254" ht="13.5">
      <c r="AZ254" s="24"/>
    </row>
    <row r="255" ht="13.5">
      <c r="AZ255" s="24"/>
    </row>
    <row r="256" ht="13.5">
      <c r="AZ256" s="24"/>
    </row>
    <row r="257" ht="13.5">
      <c r="AZ257" s="24"/>
    </row>
    <row r="258" ht="13.5">
      <c r="AZ258" s="24"/>
    </row>
    <row r="259" ht="13.5">
      <c r="AZ259" s="24"/>
    </row>
    <row r="260" ht="13.5">
      <c r="AZ260" s="24"/>
    </row>
    <row r="261" ht="13.5">
      <c r="AZ261" s="24"/>
    </row>
    <row r="262" ht="13.5">
      <c r="AZ262" s="24"/>
    </row>
    <row r="263" ht="13.5">
      <c r="AZ263" s="24"/>
    </row>
    <row r="264" ht="13.5">
      <c r="AZ264" s="24"/>
    </row>
    <row r="265" ht="13.5">
      <c r="AZ265" s="24"/>
    </row>
    <row r="266" ht="13.5">
      <c r="AZ266" s="24"/>
    </row>
    <row r="267" ht="13.5">
      <c r="AZ267" s="24"/>
    </row>
    <row r="268" ht="13.5">
      <c r="AZ268" s="24"/>
    </row>
    <row r="269" ht="13.5">
      <c r="AZ269" s="24"/>
    </row>
    <row r="270" ht="13.5">
      <c r="AZ270" s="24"/>
    </row>
    <row r="271" ht="13.5">
      <c r="AZ271" s="24"/>
    </row>
    <row r="272" ht="13.5">
      <c r="AZ272" s="24"/>
    </row>
    <row r="273" ht="13.5">
      <c r="AZ273" s="24"/>
    </row>
    <row r="274" ht="13.5">
      <c r="AZ274" s="24"/>
    </row>
    <row r="275" ht="13.5">
      <c r="AZ275" s="24"/>
    </row>
    <row r="276" ht="13.5">
      <c r="AZ276" s="24"/>
    </row>
    <row r="277" ht="13.5">
      <c r="AZ277" s="24"/>
    </row>
    <row r="278" ht="13.5">
      <c r="AZ278" s="24"/>
    </row>
    <row r="279" ht="13.5">
      <c r="AZ279" s="24"/>
    </row>
    <row r="280" ht="13.5">
      <c r="AZ280" s="24"/>
    </row>
    <row r="281" ht="13.5">
      <c r="AZ281" s="24"/>
    </row>
    <row r="282" ht="13.5">
      <c r="AZ282" s="24"/>
    </row>
    <row r="283" ht="13.5">
      <c r="AZ283" s="24"/>
    </row>
    <row r="284" ht="13.5">
      <c r="AZ284" s="24"/>
    </row>
    <row r="285" ht="13.5">
      <c r="AZ285" s="24"/>
    </row>
    <row r="286" ht="13.5">
      <c r="AZ286" s="24"/>
    </row>
    <row r="287" ht="13.5">
      <c r="AZ287" s="24"/>
    </row>
    <row r="288" ht="13.5">
      <c r="AZ288" s="24"/>
    </row>
    <row r="289" ht="13.5">
      <c r="AZ289" s="24"/>
    </row>
    <row r="290" ht="13.5">
      <c r="AZ290" s="24"/>
    </row>
    <row r="291" ht="13.5">
      <c r="AZ291" s="24"/>
    </row>
    <row r="292" ht="13.5">
      <c r="AZ292" s="24"/>
    </row>
    <row r="293" ht="13.5">
      <c r="AZ293" s="24"/>
    </row>
    <row r="294" ht="13.5">
      <c r="AZ294" s="24"/>
    </row>
    <row r="295" ht="13.5">
      <c r="AZ295" s="24"/>
    </row>
    <row r="296" ht="13.5">
      <c r="AZ296" s="24"/>
    </row>
    <row r="297" ht="13.5">
      <c r="AZ297" s="24"/>
    </row>
    <row r="298" ht="13.5">
      <c r="AZ298" s="24"/>
    </row>
    <row r="299" ht="13.5">
      <c r="AZ299" s="24"/>
    </row>
    <row r="300" ht="13.5">
      <c r="AZ300" s="24"/>
    </row>
    <row r="301" ht="13.5">
      <c r="AZ301" s="24"/>
    </row>
    <row r="302" ht="13.5">
      <c r="AZ302" s="24"/>
    </row>
    <row r="303" ht="13.5">
      <c r="AZ303" s="24"/>
    </row>
    <row r="304" ht="13.5">
      <c r="AZ304" s="24"/>
    </row>
    <row r="305" ht="13.5">
      <c r="AZ305" s="24"/>
    </row>
    <row r="306" ht="13.5">
      <c r="AZ306" s="24"/>
    </row>
    <row r="307" ht="13.5">
      <c r="AZ307" s="24"/>
    </row>
    <row r="308" ht="13.5">
      <c r="AZ308" s="24"/>
    </row>
    <row r="309" ht="13.5">
      <c r="AZ309" s="24"/>
    </row>
    <row r="310" ht="13.5">
      <c r="AZ310" s="24"/>
    </row>
    <row r="311" ht="13.5">
      <c r="AZ311" s="24"/>
    </row>
    <row r="312" ht="13.5">
      <c r="AZ312" s="24"/>
    </row>
    <row r="313" ht="13.5">
      <c r="AZ313" s="24"/>
    </row>
    <row r="314" ht="13.5">
      <c r="AZ314" s="24"/>
    </row>
    <row r="315" ht="13.5">
      <c r="AZ315" s="24"/>
    </row>
    <row r="316" ht="13.5">
      <c r="AZ316" s="24"/>
    </row>
    <row r="317" ht="13.5">
      <c r="AZ317" s="24"/>
    </row>
    <row r="318" ht="13.5">
      <c r="AZ318" s="24"/>
    </row>
    <row r="319" ht="13.5">
      <c r="AZ319" s="24"/>
    </row>
    <row r="320" ht="13.5">
      <c r="AZ320" s="24"/>
    </row>
    <row r="321" ht="13.5">
      <c r="AZ321" s="24"/>
    </row>
    <row r="322" ht="13.5">
      <c r="AZ322" s="24"/>
    </row>
    <row r="323" ht="13.5">
      <c r="AZ323" s="24"/>
    </row>
    <row r="324" ht="13.5">
      <c r="AZ324" s="24"/>
    </row>
    <row r="325" ht="13.5">
      <c r="AZ325" s="24"/>
    </row>
    <row r="326" ht="13.5">
      <c r="AZ326" s="24"/>
    </row>
    <row r="327" ht="13.5">
      <c r="AZ327" s="24"/>
    </row>
    <row r="328" ht="13.5">
      <c r="AZ328" s="24"/>
    </row>
    <row r="329" ht="13.5">
      <c r="AZ329" s="24"/>
    </row>
    <row r="330" ht="13.5">
      <c r="AZ330" s="24"/>
    </row>
    <row r="331" ht="13.5">
      <c r="AZ331" s="24"/>
    </row>
    <row r="332" ht="13.5">
      <c r="AZ332" s="24"/>
    </row>
    <row r="333" ht="13.5">
      <c r="AZ333" s="24"/>
    </row>
    <row r="334" ht="13.5">
      <c r="AZ334" s="24"/>
    </row>
    <row r="335" ht="13.5">
      <c r="AZ335" s="24"/>
    </row>
    <row r="336" ht="13.5">
      <c r="AZ336" s="24"/>
    </row>
    <row r="337" ht="13.5">
      <c r="AZ337" s="24"/>
    </row>
    <row r="338" ht="13.5">
      <c r="AZ338" s="24"/>
    </row>
    <row r="339" ht="13.5">
      <c r="AZ339" s="24"/>
    </row>
    <row r="340" ht="13.5">
      <c r="AZ340" s="24"/>
    </row>
    <row r="341" ht="13.5">
      <c r="AZ341" s="24"/>
    </row>
    <row r="342" ht="13.5">
      <c r="AZ342" s="24"/>
    </row>
    <row r="343" ht="13.5">
      <c r="AZ343" s="24"/>
    </row>
    <row r="344" ht="13.5">
      <c r="AZ344" s="24"/>
    </row>
    <row r="345" ht="13.5">
      <c r="AZ345" s="24"/>
    </row>
    <row r="346" ht="13.5">
      <c r="AZ346" s="24"/>
    </row>
    <row r="347" ht="13.5">
      <c r="AZ347" s="24"/>
    </row>
    <row r="348" ht="13.5">
      <c r="AZ348" s="24"/>
    </row>
    <row r="349" ht="13.5">
      <c r="AZ349" s="24"/>
    </row>
    <row r="350" ht="13.5">
      <c r="AZ350" s="24"/>
    </row>
    <row r="351" ht="13.5">
      <c r="AZ351" s="24"/>
    </row>
    <row r="352" ht="13.5">
      <c r="AZ352" s="24"/>
    </row>
    <row r="353" ht="13.5">
      <c r="AZ353" s="24"/>
    </row>
    <row r="354" ht="13.5">
      <c r="AZ354" s="24"/>
    </row>
    <row r="355" ht="13.5">
      <c r="AZ355" s="24"/>
    </row>
    <row r="356" ht="13.5">
      <c r="AZ356" s="24"/>
    </row>
    <row r="357" ht="13.5">
      <c r="AZ357" s="24"/>
    </row>
    <row r="358" ht="13.5">
      <c r="AZ358" s="24"/>
    </row>
    <row r="359" ht="13.5">
      <c r="AZ359" s="24"/>
    </row>
    <row r="360" ht="13.5">
      <c r="AZ360" s="24"/>
    </row>
    <row r="361" ht="13.5">
      <c r="AZ361" s="24"/>
    </row>
    <row r="362" ht="13.5">
      <c r="AZ362" s="24"/>
    </row>
    <row r="363" ht="13.5">
      <c r="AZ363" s="24"/>
    </row>
    <row r="364" ht="13.5">
      <c r="AZ364" s="24"/>
    </row>
    <row r="365" ht="13.5">
      <c r="AZ365" s="24"/>
    </row>
    <row r="366" ht="13.5">
      <c r="AZ366" s="24"/>
    </row>
    <row r="367" ht="13.5">
      <c r="AZ367" s="24"/>
    </row>
    <row r="368" ht="13.5">
      <c r="AZ368" s="24"/>
    </row>
    <row r="369" ht="13.5">
      <c r="AZ369" s="24"/>
    </row>
    <row r="370" ht="13.5">
      <c r="AZ370" s="24"/>
    </row>
    <row r="371" ht="13.5">
      <c r="AZ371" s="24"/>
    </row>
    <row r="372" ht="13.5">
      <c r="AZ372" s="24"/>
    </row>
    <row r="373" ht="13.5">
      <c r="AZ373" s="24"/>
    </row>
    <row r="374" ht="13.5">
      <c r="AZ374" s="24"/>
    </row>
    <row r="375" ht="13.5">
      <c r="AZ375" s="24"/>
    </row>
    <row r="376" ht="13.5">
      <c r="AZ376" s="24"/>
    </row>
    <row r="377" ht="13.5">
      <c r="AZ377" s="24"/>
    </row>
    <row r="378" ht="13.5">
      <c r="AZ378" s="24"/>
    </row>
    <row r="379" ht="13.5">
      <c r="AZ379" s="24"/>
    </row>
    <row r="380" ht="13.5">
      <c r="AZ380" s="24"/>
    </row>
    <row r="381" ht="13.5">
      <c r="AZ381" s="24"/>
    </row>
    <row r="382" ht="13.5">
      <c r="AZ382" s="24"/>
    </row>
    <row r="383" ht="13.5">
      <c r="AZ383" s="24"/>
    </row>
    <row r="384" ht="13.5">
      <c r="AZ384" s="24"/>
    </row>
    <row r="385" ht="13.5">
      <c r="AZ385" s="24"/>
    </row>
  </sheetData>
  <sheetProtection password="C7CA" sheet="1" objects="1" scenarios="1"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19" sqref="D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 NAKAGAWA</dc:creator>
  <cp:keywords/>
  <dc:description/>
  <cp:lastModifiedBy>sigemitu</cp:lastModifiedBy>
  <cp:lastPrinted>2002-02-12T04:56:56Z</cp:lastPrinted>
  <dcterms:created xsi:type="dcterms:W3CDTF">2002-02-08T00:12:52Z</dcterms:created>
  <dcterms:modified xsi:type="dcterms:W3CDTF">2003-01-22T09:56:02Z</dcterms:modified>
  <cp:category/>
  <cp:version/>
  <cp:contentType/>
  <cp:contentStatus/>
</cp:coreProperties>
</file>